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CL\AMA\Set 06\Final\"/>
    </mc:Choice>
  </mc:AlternateContent>
  <bookViews>
    <workbookView xWindow="0" yWindow="0" windowWidth="20490" windowHeight="7740" tabRatio="923"/>
  </bookViews>
  <sheets>
    <sheet name="Sheet1" sheetId="1" r:id="rId1"/>
    <sheet name="E1" sheetId="2" r:id="rId2"/>
    <sheet name="E2" sheetId="3" r:id="rId3"/>
    <sheet name="E3" sheetId="4" r:id="rId4"/>
    <sheet name="E4" sheetId="34" r:id="rId5"/>
    <sheet name="E5" sheetId="35" r:id="rId6"/>
    <sheet name="E6" sheetId="37" r:id="rId7"/>
    <sheet name="E7" sheetId="38" r:id="rId8"/>
    <sheet name="E8" sheetId="39" r:id="rId9"/>
    <sheet name="E10" sheetId="40" r:id="rId10"/>
    <sheet name="E11" sheetId="41" r:id="rId11"/>
    <sheet name="E12" sheetId="42" r:id="rId12"/>
    <sheet name="E13" sheetId="43" r:id="rId13"/>
    <sheet name="E14" sheetId="45" r:id="rId14"/>
    <sheet name="E15" sheetId="47" r:id="rId15"/>
    <sheet name="E16" sheetId="48" r:id="rId16"/>
    <sheet name="E17" sheetId="49" r:id="rId17"/>
    <sheet name="E18" sheetId="50" r:id="rId18"/>
    <sheet name="E19 A" sheetId="51" r:id="rId19"/>
    <sheet name="E19 B" sheetId="46" r:id="rId20"/>
    <sheet name="E20" sheetId="44" r:id="rId21"/>
    <sheet name="E21" sheetId="52" r:id="rId22"/>
    <sheet name="E22" sheetId="53" r:id="rId23"/>
    <sheet name="E23" sheetId="54" r:id="rId24"/>
    <sheet name="E24" sheetId="56" r:id="rId25"/>
    <sheet name="E25" sheetId="57" r:id="rId26"/>
    <sheet name="E26" sheetId="58" r:id="rId27"/>
    <sheet name="E27" sheetId="61" r:id="rId28"/>
    <sheet name="E28" sheetId="62" r:id="rId29"/>
    <sheet name="Q1" sheetId="55" r:id="rId30"/>
    <sheet name="Q2" sheetId="59" r:id="rId31"/>
    <sheet name="Q3" sheetId="60" r:id="rId32"/>
    <sheet name="Q4" sheetId="63" r:id="rId33"/>
    <sheet name="Q5" sheetId="36" r:id="rId34"/>
    <sheet name="Q6" sheetId="64" r:id="rId3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62" l="1"/>
  <c r="C7" i="62"/>
  <c r="C6" i="62"/>
  <c r="D9" i="62" s="1"/>
  <c r="D4" i="62"/>
  <c r="D10" i="62" s="1"/>
  <c r="C31" i="61"/>
  <c r="B31" i="61"/>
  <c r="E31" i="61" s="1"/>
  <c r="N27" i="61"/>
  <c r="D29" i="61" s="1"/>
  <c r="N26" i="61"/>
  <c r="C29" i="61" s="1"/>
  <c r="N25" i="61"/>
  <c r="E25" i="61"/>
  <c r="D28" i="61"/>
  <c r="D30" i="61" s="1"/>
  <c r="D32" i="61" s="1"/>
  <c r="C28" i="61"/>
  <c r="C30" i="61" s="1"/>
  <c r="C32" i="61" s="1"/>
  <c r="B28" i="61"/>
  <c r="D23" i="61"/>
  <c r="F23" i="61" s="1"/>
  <c r="H23" i="61" s="1"/>
  <c r="D24" i="61"/>
  <c r="F24" i="61" s="1"/>
  <c r="H24" i="61" s="1"/>
  <c r="D22" i="61"/>
  <c r="F22" i="61" s="1"/>
  <c r="H22" i="61" s="1"/>
  <c r="V10" i="61"/>
  <c r="V8" i="61"/>
  <c r="V6" i="61"/>
  <c r="F9" i="59"/>
  <c r="D46" i="60"/>
  <c r="C40" i="60"/>
  <c r="C38" i="60"/>
  <c r="J28" i="60"/>
  <c r="J25" i="60"/>
  <c r="J26" i="60" s="1"/>
  <c r="J29" i="60" s="1"/>
  <c r="I25" i="60"/>
  <c r="H25" i="60"/>
  <c r="I24" i="60"/>
  <c r="I26" i="60" s="1"/>
  <c r="I29" i="60" s="1"/>
  <c r="H24" i="60"/>
  <c r="C24" i="60"/>
  <c r="K23" i="60"/>
  <c r="B30" i="60" s="1"/>
  <c r="B17" i="60"/>
  <c r="C8" i="60"/>
  <c r="C7" i="60"/>
  <c r="C10" i="60" s="1"/>
  <c r="C32" i="59"/>
  <c r="C29" i="59"/>
  <c r="C31" i="59" s="1"/>
  <c r="C19" i="59"/>
  <c r="C20" i="59" s="1"/>
  <c r="D21" i="59" s="1"/>
  <c r="F11" i="59"/>
  <c r="C11" i="59"/>
  <c r="C8" i="59"/>
  <c r="C4" i="59"/>
  <c r="D5" i="59" s="1"/>
  <c r="F12" i="59" l="1"/>
  <c r="C10" i="59"/>
  <c r="F10" i="59"/>
  <c r="C23" i="60"/>
  <c r="C25" i="60" s="1"/>
  <c r="H55" i="60"/>
  <c r="H53" i="60" s="1"/>
  <c r="H26" i="60"/>
  <c r="H29" i="60" s="1"/>
  <c r="H28" i="60"/>
  <c r="F8" i="59"/>
  <c r="E28" i="61"/>
  <c r="B29" i="61"/>
  <c r="N28" i="61"/>
  <c r="H8" i="59"/>
  <c r="K29" i="60"/>
  <c r="I28" i="60"/>
  <c r="K28" i="60" s="1"/>
  <c r="C33" i="59"/>
  <c r="C42" i="59"/>
  <c r="C26" i="59"/>
  <c r="E29" i="61" l="1"/>
  <c r="B30" i="61"/>
  <c r="B32" i="61" s="1"/>
  <c r="E30" i="61"/>
  <c r="E32" i="61" s="1"/>
  <c r="C12" i="59"/>
  <c r="C14" i="59" s="1"/>
  <c r="H51" i="60"/>
  <c r="H57" i="60" s="1"/>
  <c r="D51" i="60" s="1"/>
  <c r="B31" i="60"/>
  <c r="K30" i="60"/>
  <c r="C26" i="60" s="1"/>
  <c r="C27" i="60" s="1"/>
  <c r="C35" i="59"/>
  <c r="C41" i="59"/>
  <c r="C43" i="59" s="1"/>
  <c r="C44" i="59" s="1"/>
  <c r="C45" i="59" s="1"/>
  <c r="B33" i="60" l="1"/>
  <c r="D47" i="60"/>
  <c r="D52" i="60"/>
  <c r="E34" i="60" l="1"/>
  <c r="E35" i="60"/>
  <c r="E33" i="60"/>
  <c r="D15" i="58" l="1"/>
  <c r="E8" i="58"/>
  <c r="D6" i="58"/>
  <c r="E10" i="57"/>
  <c r="D10" i="57"/>
  <c r="C10" i="57"/>
  <c r="D8" i="56"/>
  <c r="D6" i="56"/>
  <c r="D4" i="56"/>
  <c r="D9" i="56" s="1"/>
  <c r="M59" i="55"/>
  <c r="M61" i="55"/>
  <c r="M58" i="55"/>
  <c r="K58" i="55"/>
  <c r="M57" i="55"/>
  <c r="M60" i="55" s="1"/>
  <c r="M63" i="55" s="1"/>
  <c r="K57" i="55"/>
  <c r="K60" i="55" s="1"/>
  <c r="K63" i="55" s="1"/>
  <c r="F60" i="55"/>
  <c r="E59" i="55"/>
  <c r="F53" i="55"/>
  <c r="E52" i="55"/>
  <c r="F46" i="55"/>
  <c r="F48" i="55" s="1"/>
  <c r="F54" i="55" s="1"/>
  <c r="E45" i="55"/>
  <c r="M42" i="55"/>
  <c r="M40" i="55"/>
  <c r="M39" i="55"/>
  <c r="M38" i="55"/>
  <c r="K38" i="55"/>
  <c r="M37" i="55"/>
  <c r="M41" i="55" s="1"/>
  <c r="M44" i="55" s="1"/>
  <c r="K37" i="55"/>
  <c r="K41" i="55" s="1"/>
  <c r="K44" i="55" s="1"/>
  <c r="F39" i="55"/>
  <c r="F38" i="55"/>
  <c r="F36" i="55"/>
  <c r="F40" i="55" s="1"/>
  <c r="M27" i="55"/>
  <c r="M26" i="55"/>
  <c r="M29" i="55" s="1"/>
  <c r="M32" i="55" s="1"/>
  <c r="K27" i="55"/>
  <c r="K26" i="55"/>
  <c r="K29" i="55" s="1"/>
  <c r="K32" i="55" s="1"/>
  <c r="N32" i="55" s="1"/>
  <c r="F32" i="55"/>
  <c r="F28" i="55"/>
  <c r="D12" i="58" l="1"/>
  <c r="D17" i="58" s="1"/>
  <c r="D8" i="58"/>
  <c r="N63" i="55"/>
  <c r="N44" i="55"/>
  <c r="E23" i="55"/>
  <c r="E21" i="55" s="1"/>
  <c r="G8" i="55"/>
  <c r="C31" i="54"/>
  <c r="C30" i="54"/>
  <c r="D31" i="54" s="1"/>
  <c r="D29" i="54"/>
  <c r="D28" i="54"/>
  <c r="D32" i="54" s="1"/>
  <c r="D34" i="54" s="1"/>
  <c r="B22" i="54"/>
  <c r="D21" i="54"/>
  <c r="C15" i="54"/>
  <c r="C17" i="54" s="1"/>
  <c r="D15" i="54"/>
  <c r="D17" i="54" s="1"/>
  <c r="B15" i="54"/>
  <c r="B17" i="54" s="1"/>
  <c r="D6" i="54"/>
  <c r="D7" i="54"/>
  <c r="D5" i="54"/>
  <c r="D8" i="54" s="1"/>
  <c r="D10" i="54" s="1"/>
  <c r="D7" i="52"/>
  <c r="B16" i="52"/>
  <c r="F9" i="52"/>
  <c r="F8" i="52"/>
  <c r="F7" i="52"/>
  <c r="F10" i="52" s="1"/>
  <c r="D9" i="52"/>
  <c r="D8" i="52"/>
  <c r="B10" i="52"/>
  <c r="J8" i="52"/>
  <c r="K6" i="44"/>
  <c r="K5" i="44"/>
  <c r="K7" i="44" s="1"/>
  <c r="K9" i="44" s="1"/>
  <c r="E8" i="44" s="1"/>
  <c r="E9" i="44" s="1"/>
  <c r="E13" i="44" s="1"/>
  <c r="D9" i="44"/>
  <c r="D13" i="44" s="1"/>
  <c r="C11" i="44"/>
  <c r="C6" i="44"/>
  <c r="C9" i="44" s="1"/>
  <c r="F14" i="46"/>
  <c r="D14" i="46"/>
  <c r="C13" i="44" l="1"/>
  <c r="D10" i="52"/>
  <c r="D10" i="58"/>
  <c r="D7" i="58"/>
  <c r="G7" i="58" s="1"/>
  <c r="E22" i="55"/>
  <c r="F29" i="55" s="1"/>
  <c r="F30" i="55" s="1"/>
  <c r="F33" i="55" s="1"/>
  <c r="D83" i="51"/>
  <c r="D65" i="51"/>
  <c r="E42" i="51"/>
  <c r="E41" i="51"/>
  <c r="E40" i="51"/>
  <c r="E39" i="51"/>
  <c r="D16" i="51"/>
  <c r="F15" i="51"/>
  <c r="D15" i="51"/>
  <c r="D18" i="51" s="1"/>
  <c r="F18" i="51"/>
  <c r="C37" i="50"/>
  <c r="E33" i="50"/>
  <c r="E32" i="50"/>
  <c r="E31" i="50"/>
  <c r="E30" i="50"/>
  <c r="D84" i="51" l="1"/>
  <c r="D85" i="51" s="1"/>
  <c r="D66" i="51"/>
  <c r="D67" i="51"/>
  <c r="D127" i="49"/>
  <c r="C111" i="49"/>
  <c r="C106" i="49"/>
  <c r="C85" i="49"/>
  <c r="D94" i="49" s="1"/>
  <c r="D71" i="49"/>
  <c r="D116" i="49" l="1"/>
  <c r="D95" i="49"/>
  <c r="D115" i="49"/>
  <c r="D117" i="49" s="1"/>
  <c r="D96" i="49"/>
  <c r="F41" i="49"/>
  <c r="F40" i="49"/>
  <c r="F39" i="49"/>
  <c r="F38" i="49"/>
  <c r="C136" i="48" l="1"/>
  <c r="D140" i="48" s="1"/>
  <c r="D141" i="48" s="1"/>
  <c r="C141" i="48" s="1"/>
  <c r="D145" i="48" s="1"/>
  <c r="E119" i="48"/>
  <c r="E121" i="48" s="1"/>
  <c r="C106" i="48"/>
  <c r="C107" i="48" s="1"/>
  <c r="D111" i="48" s="1"/>
  <c r="D112" i="48" s="1"/>
  <c r="C112" i="48" s="1"/>
  <c r="D116" i="48" s="1"/>
  <c r="C80" i="48"/>
  <c r="D84" i="48" s="1"/>
  <c r="D85" i="48" s="1"/>
  <c r="D89" i="48" s="1"/>
  <c r="C79" i="48"/>
  <c r="E38" i="48"/>
  <c r="E37" i="48"/>
  <c r="E36" i="48"/>
  <c r="D23" i="48"/>
  <c r="D22" i="48"/>
  <c r="E19" i="48"/>
  <c r="C19" i="48"/>
  <c r="B49" i="47"/>
  <c r="C39" i="47"/>
  <c r="C38" i="47"/>
  <c r="C37" i="47"/>
  <c r="C40" i="47" s="1"/>
  <c r="C42" i="47" s="1"/>
  <c r="D31" i="47"/>
  <c r="C29" i="47"/>
  <c r="D29" i="47" s="1"/>
  <c r="C27" i="47"/>
  <c r="D27" i="47" s="1"/>
  <c r="D21" i="47"/>
  <c r="B21" i="47"/>
  <c r="C19" i="47"/>
  <c r="C20" i="47" s="1"/>
  <c r="D19" i="47"/>
  <c r="D20" i="47" s="1"/>
  <c r="D22" i="47" s="1"/>
  <c r="B19" i="47"/>
  <c r="B20" i="47" s="1"/>
  <c r="B22" i="47" s="1"/>
  <c r="D7" i="47"/>
  <c r="D5" i="47"/>
  <c r="C6" i="47"/>
  <c r="B45" i="45"/>
  <c r="J20" i="45"/>
  <c r="H24" i="45"/>
  <c r="C35" i="45"/>
  <c r="C34" i="45"/>
  <c r="C36" i="45" s="1"/>
  <c r="C38" i="45" s="1"/>
  <c r="D29" i="45"/>
  <c r="D30" i="45" s="1"/>
  <c r="B30" i="45" s="1"/>
  <c r="E21" i="45"/>
  <c r="E22" i="45" s="1"/>
  <c r="E24" i="45" s="1"/>
  <c r="C21" i="45"/>
  <c r="C22" i="45" s="1"/>
  <c r="C24" i="45" s="1"/>
  <c r="C9" i="45"/>
  <c r="E9" i="45" s="1"/>
  <c r="C8" i="45"/>
  <c r="E8" i="45" s="1"/>
  <c r="E10" i="45" s="1"/>
  <c r="E12" i="45" s="1"/>
  <c r="B28" i="42"/>
  <c r="E20" i="42"/>
  <c r="E19" i="42"/>
  <c r="E18" i="42"/>
  <c r="D20" i="42"/>
  <c r="F20" i="42" s="1"/>
  <c r="C27" i="42" s="1"/>
  <c r="D27" i="42" s="1"/>
  <c r="D19" i="42"/>
  <c r="F19" i="42" s="1"/>
  <c r="C26" i="42" s="1"/>
  <c r="D26" i="42" s="1"/>
  <c r="D18" i="42"/>
  <c r="F18" i="42" s="1"/>
  <c r="C12" i="42"/>
  <c r="C7" i="42" s="1"/>
  <c r="J16" i="42"/>
  <c r="K16" i="42"/>
  <c r="I16" i="42"/>
  <c r="L16" i="42" s="1"/>
  <c r="J13" i="42"/>
  <c r="J15" i="42" s="1"/>
  <c r="K13" i="42"/>
  <c r="K15" i="42" s="1"/>
  <c r="I13" i="42"/>
  <c r="I15" i="42" s="1"/>
  <c r="L15" i="42" s="1"/>
  <c r="E79" i="41"/>
  <c r="E80" i="41"/>
  <c r="E78" i="41"/>
  <c r="D79" i="41"/>
  <c r="F79" i="41" s="1"/>
  <c r="B80" i="41"/>
  <c r="D80" i="41" s="1"/>
  <c r="F80" i="41" s="1"/>
  <c r="B79" i="41"/>
  <c r="B78" i="41"/>
  <c r="D78" i="41" s="1"/>
  <c r="F78" i="41" s="1"/>
  <c r="F81" i="41" s="1"/>
  <c r="D67" i="41"/>
  <c r="F67" i="41" s="1"/>
  <c r="C74" i="41" s="1"/>
  <c r="D74" i="41" s="1"/>
  <c r="D66" i="41"/>
  <c r="F66" i="41" s="1"/>
  <c r="C73" i="41" s="1"/>
  <c r="D73" i="41" s="1"/>
  <c r="D65" i="41"/>
  <c r="C61" i="41"/>
  <c r="C41" i="41"/>
  <c r="C32" i="40"/>
  <c r="C37" i="40"/>
  <c r="D16" i="41"/>
  <c r="D17" i="41" s="1"/>
  <c r="D18" i="41" s="1"/>
  <c r="E15" i="41"/>
  <c r="D5" i="41"/>
  <c r="D8" i="41" s="1"/>
  <c r="C5" i="41"/>
  <c r="B5" i="41"/>
  <c r="E5" i="41" s="1"/>
  <c r="C52" i="41" s="1"/>
  <c r="E7" i="40"/>
  <c r="D17" i="40"/>
  <c r="D18" i="40" s="1"/>
  <c r="D19" i="40" s="1"/>
  <c r="B17" i="40"/>
  <c r="B18" i="40" s="1"/>
  <c r="B19" i="40" s="1"/>
  <c r="E16" i="40"/>
  <c r="C9" i="40"/>
  <c r="C10" i="40" s="1"/>
  <c r="D9" i="40"/>
  <c r="D10" i="40" s="1"/>
  <c r="B9" i="40"/>
  <c r="B10" i="40" s="1"/>
  <c r="B28" i="39"/>
  <c r="B29" i="39" s="1"/>
  <c r="B31" i="39" s="1"/>
  <c r="B25" i="39"/>
  <c r="B19" i="39"/>
  <c r="H19" i="39"/>
  <c r="H20" i="39" s="1"/>
  <c r="H21" i="39" s="1"/>
  <c r="D20" i="39"/>
  <c r="F6" i="39"/>
  <c r="F5" i="39"/>
  <c r="F7" i="39" s="1"/>
  <c r="E6" i="39"/>
  <c r="E5" i="39"/>
  <c r="E7" i="39" s="1"/>
  <c r="D8" i="39"/>
  <c r="E8" i="39" s="1"/>
  <c r="F8" i="39" s="1"/>
  <c r="D6" i="39"/>
  <c r="D5" i="39"/>
  <c r="D7" i="39" s="1"/>
  <c r="C6" i="39"/>
  <c r="C5" i="39"/>
  <c r="C7" i="39" s="1"/>
  <c r="C33" i="38"/>
  <c r="C35" i="38" s="1"/>
  <c r="C27" i="38"/>
  <c r="C18" i="38"/>
  <c r="C20" i="38" s="1"/>
  <c r="E10" i="38"/>
  <c r="E9" i="38"/>
  <c r="F11" i="38" s="1"/>
  <c r="C11" i="38"/>
  <c r="C12" i="38" s="1"/>
  <c r="C13" i="38" s="1"/>
  <c r="D35" i="37"/>
  <c r="D31" i="37"/>
  <c r="D25" i="37"/>
  <c r="D27" i="37" s="1"/>
  <c r="D22" i="37"/>
  <c r="D18" i="37"/>
  <c r="D14" i="37"/>
  <c r="D10" i="37"/>
  <c r="D6" i="37"/>
  <c r="E9" i="35"/>
  <c r="E8" i="35"/>
  <c r="E7" i="35"/>
  <c r="F9" i="35" s="1"/>
  <c r="C9" i="35"/>
  <c r="C10" i="35" s="1"/>
  <c r="C11" i="35" s="1"/>
  <c r="F11" i="35" s="1"/>
  <c r="H9" i="35" s="1"/>
  <c r="C22" i="36"/>
  <c r="C18" i="36"/>
  <c r="C16" i="36"/>
  <c r="C9" i="36"/>
  <c r="C7" i="36"/>
  <c r="C19" i="36" s="1"/>
  <c r="F5" i="35" l="1"/>
  <c r="F10" i="35" s="1"/>
  <c r="F12" i="35" s="1"/>
  <c r="F13" i="38"/>
  <c r="H13" i="38"/>
  <c r="H11" i="38" s="1"/>
  <c r="F7" i="38"/>
  <c r="F12" i="38" s="1"/>
  <c r="C10" i="39"/>
  <c r="C9" i="39"/>
  <c r="D10" i="39"/>
  <c r="D9" i="39"/>
  <c r="E10" i="39"/>
  <c r="E9" i="39"/>
  <c r="F10" i="39"/>
  <c r="F9" i="39"/>
  <c r="C8" i="41"/>
  <c r="C9" i="41"/>
  <c r="D68" i="41"/>
  <c r="F65" i="41"/>
  <c r="C72" i="41" s="1"/>
  <c r="D72" i="41" s="1"/>
  <c r="F21" i="42"/>
  <c r="C25" i="42"/>
  <c r="D25" i="42" s="1"/>
  <c r="D28" i="42" s="1"/>
  <c r="C28" i="47"/>
  <c r="D28" i="47" s="1"/>
  <c r="C21" i="47"/>
  <c r="D6" i="47"/>
  <c r="D8" i="47"/>
  <c r="D10" i="47" s="1"/>
  <c r="C22" i="47"/>
  <c r="D32" i="47"/>
  <c r="B32" i="47" s="1"/>
  <c r="E27" i="47"/>
  <c r="E28" i="47" s="1"/>
  <c r="E29" i="47" s="1"/>
  <c r="E30" i="47" s="1"/>
  <c r="E31" i="47"/>
  <c r="D146" i="48"/>
  <c r="D117" i="48"/>
  <c r="D118" i="48"/>
  <c r="D147" i="48"/>
  <c r="E148" i="48" s="1"/>
  <c r="E150" i="48" s="1"/>
  <c r="E32" i="47"/>
  <c r="D75" i="41"/>
  <c r="F68" i="41"/>
  <c r="B9" i="41"/>
  <c r="D9" i="41"/>
  <c r="D10" i="41" s="1"/>
  <c r="D11" i="41" s="1"/>
  <c r="B8" i="41"/>
  <c r="C18" i="40"/>
  <c r="C17" i="40"/>
  <c r="E17" i="40" s="1"/>
  <c r="F14" i="38"/>
  <c r="C22" i="34"/>
  <c r="D23" i="34" s="1"/>
  <c r="D24" i="34" s="1"/>
  <c r="C10" i="41" l="1"/>
  <c r="C11" i="41" s="1"/>
  <c r="E8" i="41"/>
  <c r="C53" i="41" s="1"/>
  <c r="C55" i="41" s="1"/>
  <c r="D61" i="41" s="1"/>
  <c r="B16" i="41"/>
  <c r="B17" i="41" s="1"/>
  <c r="B18" i="41" s="1"/>
  <c r="C29" i="41" s="1"/>
  <c r="C30" i="41" s="1"/>
  <c r="C31" i="41" s="1"/>
  <c r="B10" i="41"/>
  <c r="C19" i="40"/>
  <c r="E19" i="40" s="1"/>
  <c r="E18" i="40"/>
  <c r="D21" i="4"/>
  <c r="C22" i="4"/>
  <c r="C20" i="4"/>
  <c r="C19" i="4"/>
  <c r="D20" i="4" s="1"/>
  <c r="C18" i="4"/>
  <c r="C17" i="4"/>
  <c r="D16" i="4"/>
  <c r="C8" i="3"/>
  <c r="C6" i="3"/>
  <c r="C10" i="2"/>
  <c r="C13" i="2" s="1"/>
  <c r="C5" i="2"/>
  <c r="C6" i="2" s="1"/>
  <c r="C9" i="3" l="1"/>
  <c r="D18" i="4"/>
  <c r="D60" i="41"/>
  <c r="D58" i="41"/>
  <c r="D59" i="41"/>
  <c r="B11" i="41"/>
  <c r="C16" i="41"/>
  <c r="D23" i="4"/>
  <c r="C17" i="41" l="1"/>
  <c r="E16" i="41"/>
  <c r="C18" i="41" l="1"/>
  <c r="E17" i="41"/>
  <c r="E18" i="41" l="1"/>
  <c r="B20" i="41"/>
</calcChain>
</file>

<file path=xl/sharedStrings.xml><?xml version="1.0" encoding="utf-8"?>
<sst xmlns="http://schemas.openxmlformats.org/spreadsheetml/2006/main" count="1855" uniqueCount="1029">
  <si>
    <t>Stage 1</t>
  </si>
  <si>
    <t>Stage 2</t>
  </si>
  <si>
    <t>Stage 3</t>
  </si>
  <si>
    <t>Stage 4</t>
  </si>
  <si>
    <t>Stage 5</t>
  </si>
  <si>
    <t>Stage 6</t>
  </si>
  <si>
    <t>Stage 7</t>
  </si>
  <si>
    <t>Cost of product</t>
  </si>
  <si>
    <t>Fixed</t>
  </si>
  <si>
    <t>Relevant Cost of product</t>
  </si>
  <si>
    <t>Vary</t>
  </si>
  <si>
    <t>Relevant cost</t>
  </si>
  <si>
    <t>=</t>
  </si>
  <si>
    <t>Future + Incremental + Cash outflow</t>
  </si>
  <si>
    <t>Releveant cost is the additional cost to be incured in future as a result of specific management decision.</t>
  </si>
  <si>
    <t>Incremental cost + Opportunity cost</t>
  </si>
  <si>
    <t>Variable cost + Addi. Fixed Cost + Opportunity cost</t>
  </si>
  <si>
    <t>Material + Labour + Other direct cost + Addi. Fixed Cost + Opportunity cost</t>
  </si>
  <si>
    <t>Avoidable cost</t>
  </si>
  <si>
    <t>Differential cost</t>
  </si>
  <si>
    <t>Not relevant cost</t>
  </si>
  <si>
    <t>Sunk cost - already incured and paid, can not be recovered</t>
  </si>
  <si>
    <t>Committed cost  - Already incurred, not paid but can not be avoided.</t>
  </si>
  <si>
    <t>Notional cost - Cost just for the name sake</t>
  </si>
  <si>
    <t>Abosrption of exisiting fixed overhead cost</t>
  </si>
  <si>
    <t>Allocation of head office cost</t>
  </si>
  <si>
    <t>Book values</t>
  </si>
  <si>
    <t>Limiting factor analysis</t>
  </si>
  <si>
    <t>Scenario 1</t>
  </si>
  <si>
    <t>Multiple products, single limiting factor</t>
  </si>
  <si>
    <t>Mathematical approch</t>
  </si>
  <si>
    <t>Scenario 2</t>
  </si>
  <si>
    <t>2 prodcusts, multiple limiting facors</t>
  </si>
  <si>
    <t>LP - Graphical approach</t>
  </si>
  <si>
    <t>Use simplex method too</t>
  </si>
  <si>
    <t>Scenario 3</t>
  </si>
  <si>
    <t>Multiple products, Multiple limiting factor</t>
  </si>
  <si>
    <t>LP - Simplex approach</t>
  </si>
  <si>
    <t>Linear</t>
  </si>
  <si>
    <t>Lines</t>
  </si>
  <si>
    <t>Streight Line with a constant angle</t>
  </si>
  <si>
    <t>Programing</t>
  </si>
  <si>
    <t>Develop</t>
  </si>
  <si>
    <t>Example 1</t>
  </si>
  <si>
    <t xml:space="preserve">Annual Capacity </t>
  </si>
  <si>
    <t>Capacity utilised</t>
  </si>
  <si>
    <t>200,000*85%</t>
  </si>
  <si>
    <t>Idle capacity</t>
  </si>
  <si>
    <t xml:space="preserve">New order </t>
  </si>
  <si>
    <t>New order can be accormodated</t>
  </si>
  <si>
    <t>Variable cost</t>
  </si>
  <si>
    <t>15,000*Rs.25/-</t>
  </si>
  <si>
    <t>Additional Fixed cost</t>
  </si>
  <si>
    <t>Exisitng fixed cost Rs250,000/- is a sunk or committed cost</t>
  </si>
  <si>
    <t>Opportunity cost</t>
  </si>
  <si>
    <t>Relevant cost / incremental cost</t>
  </si>
  <si>
    <t>Exercise 2</t>
  </si>
  <si>
    <t>Relevant cost, if 1,500 units of A is accepted</t>
  </si>
  <si>
    <t>1,500 * Rs.15</t>
  </si>
  <si>
    <t>Addi. Fixed Cost</t>
  </si>
  <si>
    <t>1,500*3units of B * Rs.8</t>
  </si>
  <si>
    <t>2 alternatives</t>
  </si>
  <si>
    <t>Continue with product B</t>
  </si>
  <si>
    <t>Foregone</t>
  </si>
  <si>
    <t>Accept new order for 1,500 of A</t>
  </si>
  <si>
    <t>Choosen</t>
  </si>
  <si>
    <t>Relevant Material Cost</t>
  </si>
  <si>
    <t>Not in stock</t>
  </si>
  <si>
    <t>In stock</t>
  </si>
  <si>
    <t>Purchase</t>
  </si>
  <si>
    <t>Regular use</t>
  </si>
  <si>
    <t>Not regular use (bought for special task)</t>
  </si>
  <si>
    <t>Purchasing cost</t>
  </si>
  <si>
    <t>Purchase the material for usual production</t>
  </si>
  <si>
    <t>Alternatives</t>
  </si>
  <si>
    <t>Disposal value</t>
  </si>
  <si>
    <t>Subsitute</t>
  </si>
  <si>
    <t>Use for the new order</t>
  </si>
  <si>
    <t>Replacement cost / purchasing cost</t>
  </si>
  <si>
    <t>Exercise 03</t>
  </si>
  <si>
    <t>Relevant material cost</t>
  </si>
  <si>
    <t>P</t>
  </si>
  <si>
    <t>1,000*24</t>
  </si>
  <si>
    <t>Purchase cost</t>
  </si>
  <si>
    <t>Q</t>
  </si>
  <si>
    <t>400*20</t>
  </si>
  <si>
    <t>600*20</t>
  </si>
  <si>
    <t>Replacement cost</t>
  </si>
  <si>
    <t>R</t>
  </si>
  <si>
    <t>300*16</t>
  </si>
  <si>
    <t>700*10</t>
  </si>
  <si>
    <t>S</t>
  </si>
  <si>
    <t>300*20</t>
  </si>
  <si>
    <t>Alternative 2 - Opportunity cost</t>
  </si>
  <si>
    <t>200*24</t>
  </si>
  <si>
    <t>Alternative 3</t>
  </si>
  <si>
    <t>Exercise 04</t>
  </si>
  <si>
    <t>Relevant cost of labour</t>
  </si>
  <si>
    <t>Idle - paid, no work</t>
  </si>
  <si>
    <t>Idle labour available</t>
  </si>
  <si>
    <t>Idle labour not available</t>
  </si>
  <si>
    <t>Find additional labour</t>
  </si>
  <si>
    <t>Divert from exisitng job</t>
  </si>
  <si>
    <t>No payment</t>
  </si>
  <si>
    <t>Relevant cost = Zero</t>
  </si>
  <si>
    <t>Work OT</t>
  </si>
  <si>
    <t>Hire from outside</t>
  </si>
  <si>
    <t>Additonal OT</t>
  </si>
  <si>
    <t>Rate payment</t>
  </si>
  <si>
    <t>Sales</t>
  </si>
  <si>
    <t>(-) Relevant cost</t>
  </si>
  <si>
    <t>Material</t>
  </si>
  <si>
    <t>Labour</t>
  </si>
  <si>
    <t>Labour payment</t>
  </si>
  <si>
    <t>2,000*10</t>
  </si>
  <si>
    <t>This based on the assumtion</t>
  </si>
  <si>
    <t>if the labour is permanent with guaranteed wage - Not relevant</t>
  </si>
  <si>
    <t>2,000*12</t>
  </si>
  <si>
    <t>Labours are being paid at piece rate - then it is relevant</t>
  </si>
  <si>
    <t>Variable OH</t>
  </si>
  <si>
    <t>2,000*5</t>
  </si>
  <si>
    <t>Fixed OH</t>
  </si>
  <si>
    <t>2,000*8</t>
  </si>
  <si>
    <t>Incremental profit</t>
  </si>
  <si>
    <t>Advice - It is recommanded to accept the contract as it generates incremental profit</t>
  </si>
  <si>
    <t>Exercise 05</t>
  </si>
  <si>
    <t>(a)</t>
  </si>
  <si>
    <t>(b)</t>
  </si>
  <si>
    <t>Exiting</t>
  </si>
  <si>
    <t>Next year</t>
  </si>
  <si>
    <t>Meaning</t>
  </si>
  <si>
    <t>Selling price</t>
  </si>
  <si>
    <t>(-) Variable cost</t>
  </si>
  <si>
    <t>40*1.1</t>
  </si>
  <si>
    <t>32*1.25</t>
  </si>
  <si>
    <t>10/32*40</t>
  </si>
  <si>
    <t xml:space="preserve">Contribution </t>
  </si>
  <si>
    <t>C/S Ratio</t>
  </si>
  <si>
    <t>68/150*100</t>
  </si>
  <si>
    <t>Exercise 06</t>
  </si>
  <si>
    <t>a)</t>
  </si>
  <si>
    <t>PV Ratio</t>
  </si>
  <si>
    <t>Contribution / Sales *100</t>
  </si>
  <si>
    <t>40/100*100</t>
  </si>
  <si>
    <t>b)</t>
  </si>
  <si>
    <t>BEP Units</t>
  </si>
  <si>
    <t>Fixed cost / Contribution per unit</t>
  </si>
  <si>
    <t>600,000/40</t>
  </si>
  <si>
    <t>c)</t>
  </si>
  <si>
    <t>BEP Values</t>
  </si>
  <si>
    <t>Fixed cost / CS Ratio</t>
  </si>
  <si>
    <t>Or</t>
  </si>
  <si>
    <t>BEP Units * SP</t>
  </si>
  <si>
    <t>600,000/0.4</t>
  </si>
  <si>
    <t>15,000*100</t>
  </si>
  <si>
    <t>d)</t>
  </si>
  <si>
    <t>Units to traget profit</t>
  </si>
  <si>
    <t>(Target Profit + Fixed cost) / Contribution per unit</t>
  </si>
  <si>
    <t>(200,000+600,000)/40</t>
  </si>
  <si>
    <t>Sales to traget profit</t>
  </si>
  <si>
    <t>(Target Profit + Fixed cost) / CS Ratio</t>
  </si>
  <si>
    <t>(200,000+600,000)/0.40</t>
  </si>
  <si>
    <t>e)</t>
  </si>
  <si>
    <t>Calculation present profit</t>
  </si>
  <si>
    <t>Total contribution</t>
  </si>
  <si>
    <t>30,000*40</t>
  </si>
  <si>
    <t>(-) Fixed cost</t>
  </si>
  <si>
    <t>Present profit</t>
  </si>
  <si>
    <t>(600,000+700,000)/25 (100-75)</t>
  </si>
  <si>
    <t>(600,000+700,000)/0.25</t>
  </si>
  <si>
    <t>Exercise 07</t>
  </si>
  <si>
    <t>Increse in selling price =1,777.50-1500.00</t>
  </si>
  <si>
    <t>Rs.277.50</t>
  </si>
  <si>
    <t>500*1.25</t>
  </si>
  <si>
    <t>300*1.2</t>
  </si>
  <si>
    <t>500/1,500*100</t>
  </si>
  <si>
    <t>Calculation of existing profit</t>
  </si>
  <si>
    <t>2,000*500</t>
  </si>
  <si>
    <t>Exisitng profit</t>
  </si>
  <si>
    <t>Revised fixed cost</t>
  </si>
  <si>
    <t>600,000+102,500</t>
  </si>
  <si>
    <t>(400,000+702,500)/(1,500-1,185)</t>
  </si>
  <si>
    <t>1,102,500/315</t>
  </si>
  <si>
    <t>Extra sales volume</t>
  </si>
  <si>
    <t>3,500-2,000</t>
  </si>
  <si>
    <t>units</t>
  </si>
  <si>
    <t>592.5*2,000</t>
  </si>
  <si>
    <t>Profit</t>
  </si>
  <si>
    <t>Exercise 08</t>
  </si>
  <si>
    <t>Sales Qty</t>
  </si>
  <si>
    <t>Sales @ Rs.100</t>
  </si>
  <si>
    <t>Variable cost @ Rs.60</t>
  </si>
  <si>
    <t>Contribution</t>
  </si>
  <si>
    <t>Contribution / Sales</t>
  </si>
  <si>
    <t>Increase in profit / Increase in sales</t>
  </si>
  <si>
    <t>40/100 =40%</t>
  </si>
  <si>
    <t>80/200=40%</t>
  </si>
  <si>
    <t>4,000/10,000=40%</t>
  </si>
  <si>
    <t>3,920/9,800=40%</t>
  </si>
  <si>
    <t>Once BEP is achived, additonal contribution will be the profit</t>
  </si>
  <si>
    <t>a) BEP in Sales Value =</t>
  </si>
  <si>
    <t>W1 - CS Ratio</t>
  </si>
  <si>
    <t>W2 - Fixed cost</t>
  </si>
  <si>
    <t>500,000/0.2</t>
  </si>
  <si>
    <t>Increse in profit/increase in sales</t>
  </si>
  <si>
    <t>500,000/2,500,000</t>
  </si>
  <si>
    <t>VC % 80%</t>
  </si>
  <si>
    <t>Fixed cost</t>
  </si>
  <si>
    <t>b) Sales Value to target profit</t>
  </si>
  <si>
    <t>(Target Profit + Fixed Cost)/CS Ratio</t>
  </si>
  <si>
    <t>(1,500,000+500,000)/0.2</t>
  </si>
  <si>
    <t>c) Sales</t>
  </si>
  <si>
    <t>(-) Fixec cost</t>
  </si>
  <si>
    <t>Exercise 10</t>
  </si>
  <si>
    <t>Step 1 - Calculate PV Ratio</t>
  </si>
  <si>
    <t>Profit / Loss</t>
  </si>
  <si>
    <t>Product</t>
  </si>
  <si>
    <t>A</t>
  </si>
  <si>
    <t>B</t>
  </si>
  <si>
    <t>C</t>
  </si>
  <si>
    <t>Step 4 -</t>
  </si>
  <si>
    <t>Profit path</t>
  </si>
  <si>
    <t>Step 2 - Ranking</t>
  </si>
  <si>
    <t>Step 3 - Develop a profit table</t>
  </si>
  <si>
    <t>BEP</t>
  </si>
  <si>
    <t>Product mix</t>
  </si>
  <si>
    <t>Cum. Sales</t>
  </si>
  <si>
    <t>Cum. Contri.</t>
  </si>
  <si>
    <t>Cum. Profit</t>
  </si>
  <si>
    <t>MOS</t>
  </si>
  <si>
    <t>B,C</t>
  </si>
  <si>
    <t>Step 5 - Profit line</t>
  </si>
  <si>
    <t>B,C,A</t>
  </si>
  <si>
    <t>Mathematical approach</t>
  </si>
  <si>
    <t>Fixed cost / Cum. CS Ratio</t>
  </si>
  <si>
    <t>100,000/30%</t>
  </si>
  <si>
    <t>Cum. CS Ratio</t>
  </si>
  <si>
    <t>Cum. Contri. / Cum. Sales</t>
  </si>
  <si>
    <t>150,000/500,000</t>
  </si>
  <si>
    <t>Exercise 11</t>
  </si>
  <si>
    <t>SP</t>
  </si>
  <si>
    <t>VC</t>
  </si>
  <si>
    <t>Sales value</t>
  </si>
  <si>
    <t>Ranking</t>
  </si>
  <si>
    <t>Pro. Mix</t>
  </si>
  <si>
    <t>Cum Sales</t>
  </si>
  <si>
    <t>Cum Contri.</t>
  </si>
  <si>
    <t>Cum Profit</t>
  </si>
  <si>
    <t>A,B</t>
  </si>
  <si>
    <t>Profit line</t>
  </si>
  <si>
    <t>A,B,C</t>
  </si>
  <si>
    <t>Cum. PV Ratio</t>
  </si>
  <si>
    <t>1,710,000/6,840,000*100</t>
  </si>
  <si>
    <t>B)</t>
  </si>
  <si>
    <t>Increase in sales</t>
  </si>
  <si>
    <t>6,840,000*20%</t>
  </si>
  <si>
    <t>Increase in contribution</t>
  </si>
  <si>
    <t>1,368,000*25%</t>
  </si>
  <si>
    <t>Maximum  addi. Advertising cost</t>
  </si>
  <si>
    <t>Mathematical Approach</t>
  </si>
  <si>
    <t>1,500,000/25%</t>
  </si>
  <si>
    <t>1,710,000/6,840,000</t>
  </si>
  <si>
    <t>BEP in Units</t>
  </si>
  <si>
    <t>Act. Sales Qty</t>
  </si>
  <si>
    <t>* BEP Sales value</t>
  </si>
  <si>
    <t>Act. Sales value</t>
  </si>
  <si>
    <t>*6,000,000</t>
  </si>
  <si>
    <t>Units</t>
  </si>
  <si>
    <t>Sale ratio</t>
  </si>
  <si>
    <t>Alternative method</t>
  </si>
  <si>
    <t>BEP Sales</t>
  </si>
  <si>
    <t>Cum. Sales Ratio</t>
  </si>
  <si>
    <t>BEP Qty</t>
  </si>
  <si>
    <t>600/6,840</t>
  </si>
  <si>
    <t>6,000,000/6*1</t>
  </si>
  <si>
    <t>1,920/6,840</t>
  </si>
  <si>
    <t>6,000,000/6*2</t>
  </si>
  <si>
    <t>4,320/6,840</t>
  </si>
  <si>
    <t>6,000,000/6*3</t>
  </si>
  <si>
    <t>Calculate the MOS</t>
  </si>
  <si>
    <t>MOS Qty</t>
  </si>
  <si>
    <t>MOS Sales</t>
  </si>
  <si>
    <t>MOS Sales Value</t>
  </si>
  <si>
    <t>Unit SP</t>
  </si>
  <si>
    <t>Exercise 12</t>
  </si>
  <si>
    <t>Fixed cost / Cum. PV Ratio</t>
  </si>
  <si>
    <t>5,400,000/27.78%</t>
  </si>
  <si>
    <t>Cum. Contri / Cum Sales</t>
  </si>
  <si>
    <t>75/270</t>
  </si>
  <si>
    <t>Contri.</t>
  </si>
  <si>
    <t>Sales Ratio</t>
  </si>
  <si>
    <t>Cum. Contri</t>
  </si>
  <si>
    <t>Cum. BEP Sales</t>
  </si>
  <si>
    <t>50/270</t>
  </si>
  <si>
    <t>170/270</t>
  </si>
  <si>
    <t>b) Calculate MOS</t>
  </si>
  <si>
    <t>Act. Sales</t>
  </si>
  <si>
    <t>BEP Sales Qty</t>
  </si>
  <si>
    <t>Exercise 13 - HW</t>
  </si>
  <si>
    <t>Exercisee 14 - Single Limiting Factor Analysis</t>
  </si>
  <si>
    <t>S1 - Identify limiting factor</t>
  </si>
  <si>
    <t>Demand</t>
  </si>
  <si>
    <t>L. Hrs per unit</t>
  </si>
  <si>
    <t>Total Hrs</t>
  </si>
  <si>
    <t>X</t>
  </si>
  <si>
    <t>10/5</t>
  </si>
  <si>
    <t>Y</t>
  </si>
  <si>
    <t>15/5</t>
  </si>
  <si>
    <t>Total L. Hrs requirement</t>
  </si>
  <si>
    <t>Labour hours availability</t>
  </si>
  <si>
    <t>Shortage</t>
  </si>
  <si>
    <t>S2 - Calculate the unit contribution</t>
  </si>
  <si>
    <t>VOH</t>
  </si>
  <si>
    <t>Maximum means no loss not profit</t>
  </si>
  <si>
    <t>S3 - Labour hrs per unit</t>
  </si>
  <si>
    <t>S4 - Contribution per labour hours</t>
  </si>
  <si>
    <t>S-5 Ranking</t>
  </si>
  <si>
    <t>S6 - Optimum production plan</t>
  </si>
  <si>
    <t>Plan</t>
  </si>
  <si>
    <t>L. Hrs</t>
  </si>
  <si>
    <t>Contribution of X</t>
  </si>
  <si>
    <t>3,000*30</t>
  </si>
  <si>
    <t xml:space="preserve">                           of Y</t>
  </si>
  <si>
    <t>4,000*30</t>
  </si>
  <si>
    <t>Aggregate contribution</t>
  </si>
  <si>
    <t>Why do we need additonal labour</t>
  </si>
  <si>
    <t>To produce product Y</t>
  </si>
  <si>
    <t>Contribution per labour hous</t>
  </si>
  <si>
    <t>Shadow price</t>
  </si>
  <si>
    <t>Present rate</t>
  </si>
  <si>
    <t>Maximum rate</t>
  </si>
  <si>
    <t>Exercise 15</t>
  </si>
  <si>
    <t>Products</t>
  </si>
  <si>
    <t>RM Per unit</t>
  </si>
  <si>
    <t>Total RM</t>
  </si>
  <si>
    <t>Total raw material requirement</t>
  </si>
  <si>
    <t>Available raw material</t>
  </si>
  <si>
    <t>Material per product</t>
  </si>
  <si>
    <t>Contribution per material</t>
  </si>
  <si>
    <t>Production</t>
  </si>
  <si>
    <t>Minimum</t>
  </si>
  <si>
    <t>Additonal</t>
  </si>
  <si>
    <t>250*140</t>
  </si>
  <si>
    <t>450*330</t>
  </si>
  <si>
    <t>150*-50</t>
  </si>
  <si>
    <t>c) Maximum price for Raw Material</t>
  </si>
  <si>
    <t>Additonal material to produce product A</t>
  </si>
  <si>
    <t>Present material price</t>
  </si>
  <si>
    <t>Additonal contribution of material</t>
  </si>
  <si>
    <t>Shadow Price</t>
  </si>
  <si>
    <t>Contribution per limiting factor</t>
  </si>
  <si>
    <t>Maximum price of material</t>
  </si>
  <si>
    <t>Additonal contribution on additonal limiting factor introduce</t>
  </si>
  <si>
    <t>Exercise 16</t>
  </si>
  <si>
    <t>Step 1 -</t>
  </si>
  <si>
    <t>Define decision variables</t>
  </si>
  <si>
    <t>X axis refelect no. of units of product X</t>
  </si>
  <si>
    <t>Y axis refelect no. of units of product Y</t>
  </si>
  <si>
    <t>Step 2 -</t>
  </si>
  <si>
    <t>Establish objective function</t>
  </si>
  <si>
    <t>Maximize profit or minimize cost</t>
  </si>
  <si>
    <t>Max Z</t>
  </si>
  <si>
    <t>= 10X + 14Y</t>
  </si>
  <si>
    <t>L2</t>
  </si>
  <si>
    <t>120/60*6</t>
  </si>
  <si>
    <t>120/60*9</t>
  </si>
  <si>
    <t>Machine time</t>
  </si>
  <si>
    <t>150/60*5</t>
  </si>
  <si>
    <t>150/60*4</t>
  </si>
  <si>
    <t>L1</t>
  </si>
  <si>
    <t>Step 5 - Identify the feasible region</t>
  </si>
  <si>
    <t>Step 3 -</t>
  </si>
  <si>
    <t>Identify the constrains / limiting factors</t>
  </si>
  <si>
    <t>L1 - Labour</t>
  </si>
  <si>
    <t>6X+ 9Y &lt;= 2,700</t>
  </si>
  <si>
    <t>45 Hrs</t>
  </si>
  <si>
    <t>L2 - Machine</t>
  </si>
  <si>
    <t>5X + 4Y &lt;= 1,560</t>
  </si>
  <si>
    <t>Non  neagative</t>
  </si>
  <si>
    <t>X, Y &gt;=0</t>
  </si>
  <si>
    <t>Graph the problem</t>
  </si>
  <si>
    <t>6X+ 9Y = 2,700</t>
  </si>
  <si>
    <t>X=0 Y=300</t>
  </si>
  <si>
    <t>Y=0 X=450</t>
  </si>
  <si>
    <t>5X + 4Y = 1,560</t>
  </si>
  <si>
    <t>X=0 Y=390</t>
  </si>
  <si>
    <t>Y=0 X=312</t>
  </si>
  <si>
    <t>Step 6 -</t>
  </si>
  <si>
    <t>Find optimum production mix</t>
  </si>
  <si>
    <t>Corner point evaluation method</t>
  </si>
  <si>
    <t>10*0 + 14*300</t>
  </si>
  <si>
    <t>X=150 Y=200</t>
  </si>
  <si>
    <t>10*150 + 14*200</t>
  </si>
  <si>
    <t>Highest contribution</t>
  </si>
  <si>
    <t>X=312 Y=0</t>
  </si>
  <si>
    <t>10*312 + 14*0</t>
  </si>
  <si>
    <t>Production Mix</t>
  </si>
  <si>
    <t>ISO Profit Line Method</t>
  </si>
  <si>
    <t>Draw the objective function the on the graph</t>
  </si>
  <si>
    <t>10X + 14Y</t>
  </si>
  <si>
    <t>= Max Z</t>
  </si>
  <si>
    <t>convert this to equation with figure at your discretion</t>
  </si>
  <si>
    <t>= 2,800</t>
  </si>
  <si>
    <t>= 1,400</t>
  </si>
  <si>
    <t>X=0 Y=200</t>
  </si>
  <si>
    <t>X=0 Y=100</t>
  </si>
  <si>
    <t>Y=0 X=280</t>
  </si>
  <si>
    <t>Y=0 X=140</t>
  </si>
  <si>
    <t>Lift the ISO profit line up parallel until the extreme point is met</t>
  </si>
  <si>
    <t>Extreme point is B, which is the answer</t>
  </si>
  <si>
    <t>How to get the exact numbers at Point B</t>
  </si>
  <si>
    <t>Identify the lines that crossed at point B</t>
  </si>
  <si>
    <t>Solve above equation using simultanious equation method</t>
  </si>
  <si>
    <t>1 *5</t>
  </si>
  <si>
    <t>30X + 45Y =13,500</t>
  </si>
  <si>
    <t>2*6</t>
  </si>
  <si>
    <t>30X + 24Y = 9,360</t>
  </si>
  <si>
    <t>3-4</t>
  </si>
  <si>
    <t>30X + 45Y - 30X - 24Y = 13,500 - 9,360</t>
  </si>
  <si>
    <t>21Y =</t>
  </si>
  <si>
    <t>Y =</t>
  </si>
  <si>
    <t>30X + 45Y = 13,500</t>
  </si>
  <si>
    <t>30X + 45*197.14 = 13,500</t>
  </si>
  <si>
    <t>30X = 4,628.57</t>
  </si>
  <si>
    <t>X  =</t>
  </si>
  <si>
    <t>Correct contribution</t>
  </si>
  <si>
    <t>10*154.29 + 14* 197.14 =</t>
  </si>
  <si>
    <t>Calculating the shadow prices</t>
  </si>
  <si>
    <t>At point B limiting factors are Labour Hrs and Machine Hrs</t>
  </si>
  <si>
    <t>Shadow price of Labour Hrs - If we introduce additonal labour hour what is the additonal contribution</t>
  </si>
  <si>
    <t>6X+ 9Y = 2,700 ------ Original</t>
  </si>
  <si>
    <t>Introduce additonal labour minute</t>
  </si>
  <si>
    <t>6X+ 9Y = 2,701</t>
  </si>
  <si>
    <t>5X + 4Y = 1,560 ----- original</t>
  </si>
  <si>
    <t>1*5</t>
  </si>
  <si>
    <t>30X + 45Y = 13,505</t>
  </si>
  <si>
    <t>3*6</t>
  </si>
  <si>
    <t>30X + 45*197.38 = 13,505</t>
  </si>
  <si>
    <t>30X = 13,505 - 8,882.14</t>
  </si>
  <si>
    <t>X =</t>
  </si>
  <si>
    <t>New contribution after introducing additonal labour minute</t>
  </si>
  <si>
    <t>10*154.10 + 14* 197.38 =</t>
  </si>
  <si>
    <t>Original contribition</t>
  </si>
  <si>
    <t>Additonal contribution</t>
  </si>
  <si>
    <t>Shadow price of a labour minute</t>
  </si>
  <si>
    <t>Addiotnal contribution per hour</t>
  </si>
  <si>
    <t>exiting rate per hour</t>
  </si>
  <si>
    <t>Maximum rate per hour</t>
  </si>
  <si>
    <t>Shadow price of Machine Hrs - If we introduce additonal machine hour what is the additonal contribution</t>
  </si>
  <si>
    <t>Introduce additonal machine minute</t>
  </si>
  <si>
    <t>5X + 4Y = 1,561</t>
  </si>
  <si>
    <t>6X+ 9Y = 2,700 -----Original</t>
  </si>
  <si>
    <t>1*6</t>
  </si>
  <si>
    <t>30X + 24Y = 9,366</t>
  </si>
  <si>
    <t>2*5</t>
  </si>
  <si>
    <t>4-3</t>
  </si>
  <si>
    <t>30X + 45*196.86 = 13,500</t>
  </si>
  <si>
    <t>30X = 13,500 - 8,858.57</t>
  </si>
  <si>
    <t>New contribution after introducing additonal machine minute</t>
  </si>
  <si>
    <t>10*154.71 + 14* 196.86 =</t>
  </si>
  <si>
    <t>Shadow price of a machine minute</t>
  </si>
  <si>
    <t>Exercise 17</t>
  </si>
  <si>
    <t>Step 01 -</t>
  </si>
  <si>
    <t>Define variables</t>
  </si>
  <si>
    <t>X Axis</t>
  </si>
  <si>
    <t>Reflect no. of units produce from product Klunk</t>
  </si>
  <si>
    <t>Y Axis</t>
  </si>
  <si>
    <t>Reflect no. of units produce from product Klick</t>
  </si>
  <si>
    <t>Step 02 -</t>
  </si>
  <si>
    <t>3X + 4Y</t>
  </si>
  <si>
    <t>Step 03 -</t>
  </si>
  <si>
    <t>Establish constrains / limiting factors</t>
  </si>
  <si>
    <t>L1 -</t>
  </si>
  <si>
    <t>1X + 1Y &lt;=</t>
  </si>
  <si>
    <t>Machine Hrs</t>
  </si>
  <si>
    <t>L2 -</t>
  </si>
  <si>
    <t>4X + 2Y &lt;=</t>
  </si>
  <si>
    <t>Labour Hrs</t>
  </si>
  <si>
    <t>L3 -</t>
  </si>
  <si>
    <t>4X + 6Y &lt;=</t>
  </si>
  <si>
    <t>Max Sales</t>
  </si>
  <si>
    <t>L4 -</t>
  </si>
  <si>
    <t>X &lt;=</t>
  </si>
  <si>
    <t>Min Sales</t>
  </si>
  <si>
    <t>L5 -</t>
  </si>
  <si>
    <t>Y&gt;=</t>
  </si>
  <si>
    <t>Non negative</t>
  </si>
  <si>
    <t>X , Y &gt;=</t>
  </si>
  <si>
    <t>L3</t>
  </si>
  <si>
    <t>Step 5 - Identify the fesible region</t>
  </si>
  <si>
    <t>Step - 04</t>
  </si>
  <si>
    <t>1X + 1Y = 40</t>
  </si>
  <si>
    <t>X=0 Y=40</t>
  </si>
  <si>
    <t>Y=0 X=40</t>
  </si>
  <si>
    <t>4X + 2Y = 100</t>
  </si>
  <si>
    <t>X=0 Y=50</t>
  </si>
  <si>
    <t>Y=0 X=25</t>
  </si>
  <si>
    <t>4X + 6Y = 180</t>
  </si>
  <si>
    <t>X=0 Y= 30</t>
  </si>
  <si>
    <t>Y=0 X=45</t>
  </si>
  <si>
    <t>X = 20</t>
  </si>
  <si>
    <t>Y=0 X=20</t>
  </si>
  <si>
    <t>Y = 10</t>
  </si>
  <si>
    <t>X=0 Y=10</t>
  </si>
  <si>
    <t>L5</t>
  </si>
  <si>
    <t>D</t>
  </si>
  <si>
    <t>L4</t>
  </si>
  <si>
    <t>Step 06 -</t>
  </si>
  <si>
    <t>Find optimum solution</t>
  </si>
  <si>
    <t>OP 01</t>
  </si>
  <si>
    <t>Total Contribution</t>
  </si>
  <si>
    <t>10*4</t>
  </si>
  <si>
    <t>X=0 Y=30</t>
  </si>
  <si>
    <t>30*4</t>
  </si>
  <si>
    <t>X=15 Y=20</t>
  </si>
  <si>
    <t>3*15 + 4*20</t>
  </si>
  <si>
    <t>Max</t>
  </si>
  <si>
    <t>X=20 Y=10</t>
  </si>
  <si>
    <t>3*20 + 10*4</t>
  </si>
  <si>
    <t>Solution is Point C</t>
  </si>
  <si>
    <t>Production plan is 15 of Klunk and 20 of Klick</t>
  </si>
  <si>
    <t>At point C, limiting factors are machine hours and labour hours</t>
  </si>
  <si>
    <t>How to get the exact numbers at Point C</t>
  </si>
  <si>
    <t>Identify the lines that crossed at point C</t>
  </si>
  <si>
    <t>2-1</t>
  </si>
  <si>
    <t>4X + 2Y - 4X - 6Y = 180 - 100</t>
  </si>
  <si>
    <t>4Y =</t>
  </si>
  <si>
    <t>4X + 2*20 = 100</t>
  </si>
  <si>
    <t>4X = 60</t>
  </si>
  <si>
    <t>3*15 + 4*20 =</t>
  </si>
  <si>
    <t>At point C limiting factors are Labour Hrs and Machine Hrs</t>
  </si>
  <si>
    <t>L2 - Machine Hrs</t>
  </si>
  <si>
    <t>4X + 2Y = 100 ----- Original</t>
  </si>
  <si>
    <t>Introduce additonal machine hour</t>
  </si>
  <si>
    <t>4X + 2Y = 101</t>
  </si>
  <si>
    <t>L3 - Labour Hrs</t>
  </si>
  <si>
    <t>4X + 6Y = 180 ----- Orignal</t>
  </si>
  <si>
    <t>4X + 6*19.75 = 180</t>
  </si>
  <si>
    <t>4X = 180 - 118.5</t>
  </si>
  <si>
    <t>New contribution after introducing additonal machine hour</t>
  </si>
  <si>
    <t>3*15.375 + 4* 19.75 =</t>
  </si>
  <si>
    <t>Shadow price of a Machine Hour</t>
  </si>
  <si>
    <t>Introduce additonal labour hour</t>
  </si>
  <si>
    <t>4X + 6Y = 181</t>
  </si>
  <si>
    <t>1-2</t>
  </si>
  <si>
    <t>4X + 6*20.25 = 181</t>
  </si>
  <si>
    <t>4X = 181 - 121.5</t>
  </si>
  <si>
    <t>New contribution after introducing additonal labour hour</t>
  </si>
  <si>
    <t>3*14.875 + 4* 20.25 =</t>
  </si>
  <si>
    <t>Accordingly, material is not a limiting factor therefore we have unused material</t>
  </si>
  <si>
    <t>it is called material slack</t>
  </si>
  <si>
    <t>1X + 1Y =</t>
  </si>
  <si>
    <t>15 Klunck</t>
  </si>
  <si>
    <t>15*1Kg</t>
  </si>
  <si>
    <t>20 Klick</t>
  </si>
  <si>
    <t>20*1Kg</t>
  </si>
  <si>
    <t>Material slack</t>
  </si>
  <si>
    <t>40-35</t>
  </si>
  <si>
    <t>Unused material is 5 units</t>
  </si>
  <si>
    <t>Exercise 18 - Minimization Problem</t>
  </si>
  <si>
    <t>Reflect no. of Kgs of Ingredient A</t>
  </si>
  <si>
    <t>Reflect no. of Kgs of Ingredient B</t>
  </si>
  <si>
    <t>Min Z</t>
  </si>
  <si>
    <t>12X + 8Y</t>
  </si>
  <si>
    <r>
      <rPr>
        <b/>
        <sz val="11"/>
        <color theme="1"/>
        <rFont val="Calibri"/>
        <family val="2"/>
        <scheme val="minor"/>
      </rPr>
      <t xml:space="preserve">Step 5 </t>
    </r>
    <r>
      <rPr>
        <sz val="11"/>
        <color theme="1"/>
        <rFont val="Calibri"/>
        <family val="2"/>
        <scheme val="minor"/>
      </rPr>
      <t>- Idenntify the feasible region</t>
    </r>
  </si>
  <si>
    <t>Weight</t>
  </si>
  <si>
    <t>1X + 1Y &gt;=</t>
  </si>
  <si>
    <t>Nitrogen</t>
  </si>
  <si>
    <t>0.3X+ 0.1Y &gt;=</t>
  </si>
  <si>
    <t>Phosphates</t>
  </si>
  <si>
    <t>0.1X+ 0.05Y &gt;=</t>
  </si>
  <si>
    <t>Bone meal</t>
  </si>
  <si>
    <t>0.2X + 0.4Y &gt;=</t>
  </si>
  <si>
    <t>Y=0 X=100</t>
  </si>
  <si>
    <t>0.3X+ 0.1Y =</t>
  </si>
  <si>
    <t>X=0 Y=150</t>
  </si>
  <si>
    <t>Y=0 X=50</t>
  </si>
  <si>
    <t>0.1X+ 0.05Y =</t>
  </si>
  <si>
    <t>X=0 Y=160</t>
  </si>
  <si>
    <t>Y=0 X=80</t>
  </si>
  <si>
    <t>0.2X + 0.4Y =</t>
  </si>
  <si>
    <t>X=0 Y= 62.5</t>
  </si>
  <si>
    <t>Y=0 X=125</t>
  </si>
  <si>
    <t>12*0 + 8*160</t>
  </si>
  <si>
    <t>X=60 Y=40</t>
  </si>
  <si>
    <t>12*60 + 8*40</t>
  </si>
  <si>
    <t>Optimum answer</t>
  </si>
  <si>
    <t>X=75 Y=25</t>
  </si>
  <si>
    <t>12*75 + 8*25</t>
  </si>
  <si>
    <t>X=125 Y=0</t>
  </si>
  <si>
    <t>12*125 + 8*0</t>
  </si>
  <si>
    <t>Kgs</t>
  </si>
  <si>
    <t>Ingredient A</t>
  </si>
  <si>
    <t>Ingredient B</t>
  </si>
  <si>
    <t>Exercise 19A- Graphical approach</t>
  </si>
  <si>
    <t>X axis refelect no. of units of product R1</t>
  </si>
  <si>
    <t>Y axis refelect no. of units of product R2</t>
  </si>
  <si>
    <t>= 300X + 100Y</t>
  </si>
  <si>
    <t>X - R1</t>
  </si>
  <si>
    <t>Y - R2</t>
  </si>
  <si>
    <t>1,000*.25</t>
  </si>
  <si>
    <t>1,000*.5</t>
  </si>
  <si>
    <t>S.Labour</t>
  </si>
  <si>
    <t>2Hrs*250</t>
  </si>
  <si>
    <t>1Hrs*250</t>
  </si>
  <si>
    <t>US.Labour</t>
  </si>
  <si>
    <t>1Hrs*150</t>
  </si>
  <si>
    <t>L1 - Material</t>
  </si>
  <si>
    <t>0.25X + 0.5Y &lt;=</t>
  </si>
  <si>
    <t>L2 - S. Labour</t>
  </si>
  <si>
    <t>2X + 1Y &lt;=</t>
  </si>
  <si>
    <t>L3 -US. Labour</t>
  </si>
  <si>
    <t>X + Y &lt;=</t>
  </si>
  <si>
    <t>L4 - Demand R1</t>
  </si>
  <si>
    <t>X, Y &gt;= 0</t>
  </si>
  <si>
    <t>0.25X + 0.5Y =</t>
  </si>
  <si>
    <t>X=0 Y=2,000</t>
  </si>
  <si>
    <t>Y=0 X=4,000</t>
  </si>
  <si>
    <t>2X + 1Y =</t>
  </si>
  <si>
    <t>X=0 Y=4,000</t>
  </si>
  <si>
    <t>Y=0 X=2,000</t>
  </si>
  <si>
    <t>X + Y =</t>
  </si>
  <si>
    <t>X=0 Y=3,000</t>
  </si>
  <si>
    <t>Y=0 X=3,000</t>
  </si>
  <si>
    <t>X=1,500</t>
  </si>
  <si>
    <t>0</t>
  </si>
  <si>
    <t>300*0 + 100*2,000</t>
  </si>
  <si>
    <t>X=1,333 Y=1,333</t>
  </si>
  <si>
    <t>300*1,333 + 100*1,333</t>
  </si>
  <si>
    <t>X=1,500 Y=1,000</t>
  </si>
  <si>
    <t>300*1,500 + 100*1,000</t>
  </si>
  <si>
    <t>X=1,500 Y=0</t>
  </si>
  <si>
    <t>300*1,500 + 100*0</t>
  </si>
  <si>
    <t>Prodcution plan</t>
  </si>
  <si>
    <t>Qty</t>
  </si>
  <si>
    <t>R1</t>
  </si>
  <si>
    <t>R2</t>
  </si>
  <si>
    <t>At point C limiting factors are Skilled Labour Hrs and Demand</t>
  </si>
  <si>
    <t>Shadow price of Skilled Labour Hrs - If we introduce additonal skilled labour hour what is the additonal contribution</t>
  </si>
  <si>
    <t>L2 - Skilled Labour</t>
  </si>
  <si>
    <t>2X + 1Y = 4,000 ------ Original</t>
  </si>
  <si>
    <t>Introduce additonal skilled labour hour</t>
  </si>
  <si>
    <t>2X + 1Y = 4,001</t>
  </si>
  <si>
    <t>X = 1,500</t>
  </si>
  <si>
    <t>2*1,500 + Y = 4,001</t>
  </si>
  <si>
    <t>Y = 4,001 - 3,000</t>
  </si>
  <si>
    <t>Y= 1,001</t>
  </si>
  <si>
    <t>New contribution after introducing additonal skilled labour hour</t>
  </si>
  <si>
    <t>300X + 100Y</t>
  </si>
  <si>
    <t>300*1,500 + 100*1001</t>
  </si>
  <si>
    <t>Shadow price of a skilled labour  Hour</t>
  </si>
  <si>
    <t>Shadow price of demand for X - If we introduce additonal X Unit what is the additonal contribution</t>
  </si>
  <si>
    <t>Introduce additonal X Unit</t>
  </si>
  <si>
    <t>X = 1,501</t>
  </si>
  <si>
    <t>2X + 1Y = 4,000</t>
  </si>
  <si>
    <t>2*1,501 + Y = 4,000</t>
  </si>
  <si>
    <t>Y = 4,000 - 3,002</t>
  </si>
  <si>
    <t>Y= 998</t>
  </si>
  <si>
    <t>New contribution after introducing additonal X unit</t>
  </si>
  <si>
    <t>300*1,501 + 100*998</t>
  </si>
  <si>
    <t>Shadow price of a X Unit</t>
  </si>
  <si>
    <t>L1 and L3 are not limiting factors, they have unused resources (slack resources)</t>
  </si>
  <si>
    <t>L1 -Material</t>
  </si>
  <si>
    <t>L3 - US Labour</t>
  </si>
  <si>
    <t>0.25*1,500 + 0.5*1,000 =</t>
  </si>
  <si>
    <t>375 + 500</t>
  </si>
  <si>
    <t>Material Slack</t>
  </si>
  <si>
    <t>1,500 + 1,000</t>
  </si>
  <si>
    <t>US Labour slack</t>
  </si>
  <si>
    <r>
      <rPr>
        <b/>
        <sz val="11"/>
        <color theme="1"/>
        <rFont val="Calibri"/>
        <family val="2"/>
        <scheme val="minor"/>
      </rPr>
      <t>Develop the objective function</t>
    </r>
    <r>
      <rPr>
        <sz val="11"/>
        <color theme="1"/>
        <rFont val="Calibri"/>
        <family val="2"/>
        <scheme val="minor"/>
      </rPr>
      <t xml:space="preserve">  - Maximize the contribution</t>
    </r>
  </si>
  <si>
    <t>300X + 100Y + 0S1+0S2+0S3+0S4</t>
  </si>
  <si>
    <t>Selling Price</t>
  </si>
  <si>
    <t>(-) VC</t>
  </si>
  <si>
    <t>DM</t>
  </si>
  <si>
    <t>DL - S</t>
  </si>
  <si>
    <t>DL - US</t>
  </si>
  <si>
    <t xml:space="preserve">Identify the constrians </t>
  </si>
  <si>
    <t>SLACK 1</t>
  </si>
  <si>
    <t>S1</t>
  </si>
  <si>
    <t>0.25X + 0.5Y + S1 &lt;= 1,000</t>
  </si>
  <si>
    <t>Assumtion is, every conbstrains has a slack (unused inputs)</t>
  </si>
  <si>
    <t>SLACK 2</t>
  </si>
  <si>
    <t>S2</t>
  </si>
  <si>
    <t>DL - Skilled</t>
  </si>
  <si>
    <t>2X + 1Y + S2 &lt;= 4,000</t>
  </si>
  <si>
    <t>SLACK 3</t>
  </si>
  <si>
    <t>S3</t>
  </si>
  <si>
    <t>DL - Un-Skilled</t>
  </si>
  <si>
    <t>X + Y + S3  &lt;= 3,000</t>
  </si>
  <si>
    <t>SLACK 4</t>
  </si>
  <si>
    <t>S4</t>
  </si>
  <si>
    <t>X + S4 &lt;=1,500</t>
  </si>
  <si>
    <t>Develop the initial tablue</t>
  </si>
  <si>
    <t>Row Number</t>
  </si>
  <si>
    <t>Solution Variables</t>
  </si>
  <si>
    <t>Solution Qty</t>
  </si>
  <si>
    <t>S. Labour</t>
  </si>
  <si>
    <t>US Labour</t>
  </si>
  <si>
    <t>Z</t>
  </si>
  <si>
    <t>Traget is to replace slack variables with decision variables (X,Y)</t>
  </si>
  <si>
    <t>What is the optimum answer - Z row 5, all figures in row 5 should be negative or zero</t>
  </si>
  <si>
    <t>Step 4 - Solve the initial table</t>
  </si>
  <si>
    <t>Qty Solution</t>
  </si>
  <si>
    <t>-</t>
  </si>
  <si>
    <t>Select the highest contribution which is 300 which is R1 (X)</t>
  </si>
  <si>
    <t>Then devide the qty by X</t>
  </si>
  <si>
    <t>1000/.25</t>
  </si>
  <si>
    <t>4000/2</t>
  </si>
  <si>
    <t>.</t>
  </si>
  <si>
    <t>3000/1</t>
  </si>
  <si>
    <t>1500/1</t>
  </si>
  <si>
    <t>Select the lowest which is X,S4 CALLED pivot element</t>
  </si>
  <si>
    <t>Devide the raw number 4 (S4) by the pivot element</t>
  </si>
  <si>
    <t>R6</t>
  </si>
  <si>
    <t>Deduct the row 6 from the other as to make them zero</t>
  </si>
  <si>
    <t>R6/4</t>
  </si>
  <si>
    <t>R1/4 - 6</t>
  </si>
  <si>
    <t>R7</t>
  </si>
  <si>
    <t>R6*2</t>
  </si>
  <si>
    <t>R2/2 - 6</t>
  </si>
  <si>
    <t>R8</t>
  </si>
  <si>
    <t>R3</t>
  </si>
  <si>
    <t>R9</t>
  </si>
  <si>
    <t>R5</t>
  </si>
  <si>
    <t>R6*300</t>
  </si>
  <si>
    <t>R10</t>
  </si>
  <si>
    <t>Select the highest contribution which is 100 which is Y</t>
  </si>
  <si>
    <t>Then devide the qty by y</t>
  </si>
  <si>
    <t>1,500/0</t>
  </si>
  <si>
    <t>Ignore</t>
  </si>
  <si>
    <t>625/.5</t>
  </si>
  <si>
    <t>1,000/1</t>
  </si>
  <si>
    <t>Select the lowest which is Y,S2 CALLED pivot element</t>
  </si>
  <si>
    <t>Devide the raw number 8 (S2) by the pivot element</t>
  </si>
  <si>
    <t>R11/2</t>
  </si>
  <si>
    <t>11*100</t>
  </si>
  <si>
    <t>Final Tablue</t>
  </si>
  <si>
    <t xml:space="preserve"> X </t>
  </si>
  <si>
    <t xml:space="preserve"> Y </t>
  </si>
  <si>
    <t xml:space="preserve"> S1 </t>
  </si>
  <si>
    <t xml:space="preserve"> S2 </t>
  </si>
  <si>
    <t xml:space="preserve"> S3 </t>
  </si>
  <si>
    <t xml:space="preserve"> S4 </t>
  </si>
  <si>
    <t xml:space="preserve"> Qty Solution </t>
  </si>
  <si>
    <t>Produce 1500 units of X</t>
  </si>
  <si>
    <t>Produce 1,000 units of Y</t>
  </si>
  <si>
    <t>When we produce above unused material is 125Kgs</t>
  </si>
  <si>
    <t>When we produce above unused unskilled labour is 500Hrs</t>
  </si>
  <si>
    <t>All became negative therefore this is final answer</t>
  </si>
  <si>
    <t>When we produce above total contribution is Rs550,000</t>
  </si>
  <si>
    <t>Example 20</t>
  </si>
  <si>
    <t>Make or Buy Decision</t>
  </si>
  <si>
    <t>(c )</t>
  </si>
  <si>
    <t>W1 - Opportunity cost</t>
  </si>
  <si>
    <t>Product Z</t>
  </si>
  <si>
    <t>1,000*650</t>
  </si>
  <si>
    <t>(300+200+100)*1,000</t>
  </si>
  <si>
    <t>(-) VA</t>
  </si>
  <si>
    <t>1,000*575</t>
  </si>
  <si>
    <t>Addi. Fixed cost</t>
  </si>
  <si>
    <t>Oppo. Cost W1</t>
  </si>
  <si>
    <t>Relevant cost of making</t>
  </si>
  <si>
    <t>Rs.625*1,000</t>
  </si>
  <si>
    <t>Saving on production</t>
  </si>
  <si>
    <t>Decision</t>
  </si>
  <si>
    <t>Make</t>
  </si>
  <si>
    <t>Buy</t>
  </si>
  <si>
    <t>Exercise 21 - Make or buy decision</t>
  </si>
  <si>
    <t>RC per tube with lotion</t>
  </si>
  <si>
    <t>Pur. Tube &amp; add lotion</t>
  </si>
  <si>
    <t>Present</t>
  </si>
  <si>
    <t>Propose</t>
  </si>
  <si>
    <t>Total overhead</t>
  </si>
  <si>
    <t>30*80% + 9</t>
  </si>
  <si>
    <t>Fixed overhead</t>
  </si>
  <si>
    <t>1,000,000/100,000</t>
  </si>
  <si>
    <t>20*90%</t>
  </si>
  <si>
    <t>5*90%</t>
  </si>
  <si>
    <t>Decision is to make</t>
  </si>
  <si>
    <t>Proposed price</t>
  </si>
  <si>
    <t>(-) Saving on production</t>
  </si>
  <si>
    <t>Maximum price that company pay</t>
  </si>
  <si>
    <t>Exercise 22 - Homework</t>
  </si>
  <si>
    <t>Exercise 23</t>
  </si>
  <si>
    <t xml:space="preserve">M. Hour </t>
  </si>
  <si>
    <t>Total M. Hour</t>
  </si>
  <si>
    <t>Total hours</t>
  </si>
  <si>
    <t>Available hours</t>
  </si>
  <si>
    <t>Purchasing price</t>
  </si>
  <si>
    <t>Variable cost of manufacturing</t>
  </si>
  <si>
    <t>Saving on manufacturing</t>
  </si>
  <si>
    <t>Machine Hours per unit</t>
  </si>
  <si>
    <t>Saving per machine hour</t>
  </si>
  <si>
    <t>Production plan</t>
  </si>
  <si>
    <t>Purchasing Plan</t>
  </si>
  <si>
    <t>4,000*15</t>
  </si>
  <si>
    <t>4,000*5</t>
  </si>
  <si>
    <t>2,000*16</t>
  </si>
  <si>
    <t>2,000*6</t>
  </si>
  <si>
    <t xml:space="preserve">Exercise 24 </t>
  </si>
  <si>
    <t>Accept - Reject orders</t>
  </si>
  <si>
    <t>Additonal sales</t>
  </si>
  <si>
    <t>5,000*45</t>
  </si>
  <si>
    <t>5,000*35</t>
  </si>
  <si>
    <t>Addiotnal fixed cost</t>
  </si>
  <si>
    <t>Oppor. Cost</t>
  </si>
  <si>
    <t>500*(60-35)</t>
  </si>
  <si>
    <t>Addi. Profit</t>
  </si>
  <si>
    <t>Order should be accepted since it generates additonal profit of Rs.12,500.</t>
  </si>
  <si>
    <t>Exercise 25</t>
  </si>
  <si>
    <t>Shut down decision</t>
  </si>
  <si>
    <t>Rs.Mn</t>
  </si>
  <si>
    <t>Oppor. cost</t>
  </si>
  <si>
    <t>Continue</t>
  </si>
  <si>
    <t>Shutdown</t>
  </si>
  <si>
    <t>Exercise 26</t>
  </si>
  <si>
    <t>Shutdown decision</t>
  </si>
  <si>
    <t>Income statement of division K</t>
  </si>
  <si>
    <t>Income</t>
  </si>
  <si>
    <t>8,600,000*10%</t>
  </si>
  <si>
    <t>(-) Cost of sales</t>
  </si>
  <si>
    <t>325,000+371,600</t>
  </si>
  <si>
    <t>Gross profit</t>
  </si>
  <si>
    <t>(3,268/8,600)*1/2</t>
  </si>
  <si>
    <t>Other expenses</t>
  </si>
  <si>
    <t>Profit /  (Loss)</t>
  </si>
  <si>
    <t>Relevant income</t>
  </si>
  <si>
    <t>Specific fixed cost</t>
  </si>
  <si>
    <t>325,000+125,000</t>
  </si>
  <si>
    <t>Opportunity gain</t>
  </si>
  <si>
    <t>Net gain from the division K</t>
  </si>
  <si>
    <t>Division K should be operated as it generates additonal profit of Rs.158,400</t>
  </si>
  <si>
    <t>Exercise 27 -Further Processing Decision</t>
  </si>
  <si>
    <t>Split-off point</t>
  </si>
  <si>
    <t>Output</t>
  </si>
  <si>
    <t>Market Price</t>
  </si>
  <si>
    <t>Additonal price</t>
  </si>
  <si>
    <t>Petrol</t>
  </si>
  <si>
    <t>Super petrol</t>
  </si>
  <si>
    <t>Diesel</t>
  </si>
  <si>
    <t>Super Diesel</t>
  </si>
  <si>
    <t>Kerosine</t>
  </si>
  <si>
    <t>Jet oil</t>
  </si>
  <si>
    <t>Common Cost</t>
  </si>
  <si>
    <t>Variable Cost</t>
  </si>
  <si>
    <t>Common cost is attributed to products on;</t>
  </si>
  <si>
    <t>Sale Revenue</t>
  </si>
  <si>
    <t>Production units</t>
  </si>
  <si>
    <t>SP after FP</t>
  </si>
  <si>
    <t>SP @ Split point</t>
  </si>
  <si>
    <t>Additonal SP</t>
  </si>
  <si>
    <t>No of Units</t>
  </si>
  <si>
    <t>Total additonal sales</t>
  </si>
  <si>
    <t>Further processing cost</t>
  </si>
  <si>
    <t>Additonal profit</t>
  </si>
  <si>
    <t>FP</t>
  </si>
  <si>
    <t>Don’t FP</t>
  </si>
  <si>
    <t>400,000/8,000*3,500</t>
  </si>
  <si>
    <t>400,000/8,000*2,500</t>
  </si>
  <si>
    <t>Total</t>
  </si>
  <si>
    <t>400,000/8,000*2,000</t>
  </si>
  <si>
    <t>Joint cost</t>
  </si>
  <si>
    <t>FP Cost</t>
  </si>
  <si>
    <t>Exercise 28 - Extra Shift Decision</t>
  </si>
  <si>
    <t>400,000/10,000*8,000</t>
  </si>
  <si>
    <t>120,000/10,000*0.95*8,000</t>
  </si>
  <si>
    <t>100,000/10,000*1.2*8,000</t>
  </si>
  <si>
    <t>20,000/10,000*8,000</t>
  </si>
  <si>
    <t>It is recommanded to implement extra shift as it generates additonal profit of Rs.91,800/-.</t>
  </si>
  <si>
    <t>Question 1 - Make or Buy</t>
  </si>
  <si>
    <t>Transfer at Variable Cost</t>
  </si>
  <si>
    <t xml:space="preserve">Purchase outside </t>
  </si>
  <si>
    <t>@ Rs.1,600</t>
  </si>
  <si>
    <t>DL</t>
  </si>
  <si>
    <t>Present Demand</t>
  </si>
  <si>
    <t>Next year Demand</t>
  </si>
  <si>
    <t>Present Demand / Annual Production</t>
  </si>
  <si>
    <t>XXXX</t>
  </si>
  <si>
    <t>XXX+ Rs.800</t>
  </si>
  <si>
    <t>Additonal units</t>
  </si>
  <si>
    <t>Increase in labour cost</t>
  </si>
  <si>
    <t>Rs.300 per hour</t>
  </si>
  <si>
    <t>Increase in fixed cost</t>
  </si>
  <si>
    <t>Rs.2Mn</t>
  </si>
  <si>
    <t>20% common</t>
  </si>
  <si>
    <t>80% specific</t>
  </si>
  <si>
    <t>200*12,000</t>
  </si>
  <si>
    <t>Purchase entire 16,000 from outside market</t>
  </si>
  <si>
    <t>New</t>
  </si>
  <si>
    <t>12,000*2,800</t>
  </si>
  <si>
    <t>16,000*2,800</t>
  </si>
  <si>
    <t>Exisitng 12,000 units</t>
  </si>
  <si>
    <t>12,000*800</t>
  </si>
  <si>
    <t>16,000*1,600</t>
  </si>
  <si>
    <t xml:space="preserve">Drop in contribution </t>
  </si>
  <si>
    <t>(1,600-800)*12,000</t>
  </si>
  <si>
    <t>Loss</t>
  </si>
  <si>
    <t>Saving of fixed cost</t>
  </si>
  <si>
    <t>Balance 4,000 units</t>
  </si>
  <si>
    <t>Additional contribution</t>
  </si>
  <si>
    <t>(2,000-800)*4,000</t>
  </si>
  <si>
    <t>Net Decrease in contribution</t>
  </si>
  <si>
    <t>Produce 14,000, Buy 2,000</t>
  </si>
  <si>
    <t>Drop in contri. On addi.2,000 units produce</t>
  </si>
  <si>
    <t>2,000*300</t>
  </si>
  <si>
    <t>Drop in contri. On addi. Fixed cost</t>
  </si>
  <si>
    <t>Drop. In contri. On additonal 2,000 units purchased</t>
  </si>
  <si>
    <t>2,000*800</t>
  </si>
  <si>
    <t>Addi. Contribution on add. Sales of 4,000 units</t>
  </si>
  <si>
    <t>4,000*2,000</t>
  </si>
  <si>
    <t>2,000*1,100</t>
  </si>
  <si>
    <t>Net increase in contribution</t>
  </si>
  <si>
    <t>2,000*1,600</t>
  </si>
  <si>
    <t>Alternative calculation</t>
  </si>
  <si>
    <t>Exisitng contribution</t>
  </si>
  <si>
    <t>Addinal OT</t>
  </si>
  <si>
    <t>Add. Contri. Per unit</t>
  </si>
  <si>
    <t>Total additonal contribution</t>
  </si>
  <si>
    <t>1,700*2,000</t>
  </si>
  <si>
    <t>Net profit from addito. 2,000 units produce</t>
  </si>
  <si>
    <t>Addi. Purchasing cost</t>
  </si>
  <si>
    <t>1,600-800</t>
  </si>
  <si>
    <t>1,200*2,000</t>
  </si>
  <si>
    <t>Produce 12,000, Buy 4,000</t>
  </si>
  <si>
    <t>Addi. purchasing cost</t>
  </si>
  <si>
    <t>4,000*1,600</t>
  </si>
  <si>
    <t>1,200*4,000 Units</t>
  </si>
  <si>
    <t>As per the above calculation purchasing additonal 4,000 units from outside market will increase the exisitng contribution.</t>
  </si>
  <si>
    <t>Question 02</t>
  </si>
  <si>
    <t>Available room nights</t>
  </si>
  <si>
    <t>60Rooms*365days</t>
  </si>
  <si>
    <t>Expected profit</t>
  </si>
  <si>
    <t>Rs.80Mn+Rs.16Mn *25%</t>
  </si>
  <si>
    <t>ROI</t>
  </si>
  <si>
    <t>Estimated sale of room nights</t>
  </si>
  <si>
    <t>Target profit</t>
  </si>
  <si>
    <t>(80,000,000+16,000,000)*25%</t>
  </si>
  <si>
    <t xml:space="preserve">Fixec ost </t>
  </si>
  <si>
    <t>Expected contribution</t>
  </si>
  <si>
    <t>No. of room night estimated in 2019</t>
  </si>
  <si>
    <t>Contribtion per room night</t>
  </si>
  <si>
    <t>Variable cost per room night</t>
  </si>
  <si>
    <t>Selling price per rrom night</t>
  </si>
  <si>
    <t>ii)</t>
  </si>
  <si>
    <t>35,200,000/16,000</t>
  </si>
  <si>
    <t>Margin</t>
  </si>
  <si>
    <t>16,000*3,700</t>
  </si>
  <si>
    <t>New contribution</t>
  </si>
  <si>
    <t>Revised selling price</t>
  </si>
  <si>
    <t>4,000*90%</t>
  </si>
  <si>
    <t>Revised contribution per room night</t>
  </si>
  <si>
    <t>Revised room night</t>
  </si>
  <si>
    <t>16,000*110%</t>
  </si>
  <si>
    <t>Revised contribution</t>
  </si>
  <si>
    <t>17,600*3,300</t>
  </si>
  <si>
    <t>Loss in contribution</t>
  </si>
  <si>
    <t>It is not recommanded to reduce the price as it decrease the exiting contribution.</t>
  </si>
  <si>
    <t>Howmany room night to be sold to maintain existing contribution at revised selling price</t>
  </si>
  <si>
    <t>No. of room nights required</t>
  </si>
  <si>
    <t>Howmany additional room nights</t>
  </si>
  <si>
    <t>17,939.39-16,000</t>
  </si>
  <si>
    <t>Howmany additional room nights %</t>
  </si>
  <si>
    <t>1,939.39/16,000</t>
  </si>
  <si>
    <t>Question 3 - CVP Analysis</t>
  </si>
  <si>
    <t>A)</t>
  </si>
  <si>
    <t>Profitability of option A</t>
  </si>
  <si>
    <t>8,000,000/20,000*80,000</t>
  </si>
  <si>
    <t>3,400,000/20,000*80,000</t>
  </si>
  <si>
    <t>3,600,000+2,420,000</t>
  </si>
  <si>
    <t>Profitability of option B</t>
  </si>
  <si>
    <t>It is recommanded to select option B as it is profitable than option A.</t>
  </si>
  <si>
    <t>i)</t>
  </si>
  <si>
    <t>Exsiting profit</t>
  </si>
  <si>
    <t>6,020,000+2,978,000</t>
  </si>
  <si>
    <t>Required contribution</t>
  </si>
  <si>
    <t>Variable cost @ 90%</t>
  </si>
  <si>
    <t>Cum. C/S Ratio</t>
  </si>
  <si>
    <t>Required sales</t>
  </si>
  <si>
    <t>22,078,000/38.41%</t>
  </si>
  <si>
    <t>Cum. Contribution</t>
  </si>
  <si>
    <t>Sales Unit to Target profit</t>
  </si>
  <si>
    <t>*57,475,000</t>
  </si>
  <si>
    <t>161,500/17*2</t>
  </si>
  <si>
    <t>161,500/17*5</t>
  </si>
  <si>
    <t>161,500/17*10</t>
  </si>
  <si>
    <t>MOS Under option C</t>
  </si>
  <si>
    <t>170,000 - 65,825.66</t>
  </si>
  <si>
    <t>MOS Under Option B</t>
  </si>
  <si>
    <t>170,000 - 53,581.15</t>
  </si>
  <si>
    <t>Option B is preferable since it has got higher MOS</t>
  </si>
  <si>
    <t>Working</t>
  </si>
  <si>
    <t>BEP under option C</t>
  </si>
  <si>
    <t>Fixed Cost / CS Ratio</t>
  </si>
  <si>
    <t>8,998,000/38.41%</t>
  </si>
  <si>
    <t>170,000/60,500,000*23,426,191.1</t>
  </si>
  <si>
    <t>BEP under option B</t>
  </si>
  <si>
    <t>6,020,000/31.57%</t>
  </si>
  <si>
    <t>170,000/60,500,000*19,068,586.39</t>
  </si>
  <si>
    <t>Cuum. C/S Ratio</t>
  </si>
  <si>
    <t>Homework</t>
  </si>
  <si>
    <t>Question 05</t>
  </si>
  <si>
    <t>Minimum price</t>
  </si>
  <si>
    <t>= Relevant cost of the job</t>
  </si>
  <si>
    <t>Relevant cost of fitness bands</t>
  </si>
  <si>
    <t>Rs.</t>
  </si>
  <si>
    <t>Material - Latex</t>
  </si>
  <si>
    <t>Rs.410*60,000</t>
  </si>
  <si>
    <t>* Current price Rs.410 is relevanr because latex should be replenished for regular use</t>
  </si>
  <si>
    <t>* Exisitng cost of Rs.400/Kg is not relevanr because it is sunk cost</t>
  </si>
  <si>
    <t>Material - Chemical</t>
  </si>
  <si>
    <t>Rs.1,450 *10,000</t>
  </si>
  <si>
    <t>* Current price Rs.,1450 is relevanr because chemical should be replenished for regular use</t>
  </si>
  <si>
    <t>*  Original cost Rs.1,500/Kg is not relevant because it is sunk cost</t>
  </si>
  <si>
    <t>* Resale value Rs.1,350/- is not relevanr because checmical is regular use item without an intension to sell</t>
  </si>
  <si>
    <t>Material - Pigment</t>
  </si>
  <si>
    <t>* Book value Rs.10,000/Kg is not relevant because it is sunk cost</t>
  </si>
  <si>
    <t>* Curent purchase price Rs.7,000/kg is not relevanr because, there is not requirement to purchase for this job</t>
  </si>
  <si>
    <t>Direct labour</t>
  </si>
  <si>
    <t>* Incremental cost therefore it is relevant</t>
  </si>
  <si>
    <t>Variable overhead</t>
  </si>
  <si>
    <t>6,400,000*40%</t>
  </si>
  <si>
    <t>* 60% of fixed overhead is abosorbed exiting overhead which is not relevant</t>
  </si>
  <si>
    <t>50,000*500</t>
  </si>
  <si>
    <t>* Contribution forgone is a relevant cost</t>
  </si>
  <si>
    <t>Total relevant cost</t>
  </si>
  <si>
    <t>Minimum sales value</t>
  </si>
  <si>
    <t>Minimum price is to coverup the relevant cost</t>
  </si>
  <si>
    <t>No. of units</t>
  </si>
  <si>
    <t>Minimum selling price per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</si>
</sst>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u val="doubleAccounting"/>
      <sz val="11"/>
      <color rgb="FFFF0000"/>
      <name val="Calibri"/>
      <family val="2"/>
      <scheme val="minor"/>
    </font>
    <font>
      <b/>
      <u val="singleAccounting"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5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43" fontId="0" fillId="0" borderId="0" xfId="1" applyFont="1"/>
    <xf numFmtId="43" fontId="0" fillId="0" borderId="0" xfId="1" applyFont="1" applyAlignment="1">
      <alignment horizontal="left"/>
    </xf>
    <xf numFmtId="0" fontId="0" fillId="0" borderId="0" xfId="0" quotePrefix="1"/>
    <xf numFmtId="0" fontId="3" fillId="0" borderId="0" xfId="0" applyFont="1"/>
    <xf numFmtId="43" fontId="0" fillId="0" borderId="0" xfId="0" applyNumberFormat="1"/>
    <xf numFmtId="0" fontId="4" fillId="0" borderId="0" xfId="0" applyFont="1"/>
    <xf numFmtId="43" fontId="0" fillId="0" borderId="2" xfId="0" applyNumberFormat="1" applyBorder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43" fontId="0" fillId="0" borderId="1" xfId="1" applyFont="1" applyBorder="1"/>
    <xf numFmtId="43" fontId="6" fillId="0" borderId="1" xfId="1" applyFont="1" applyBorder="1"/>
    <xf numFmtId="9" fontId="0" fillId="0" borderId="0" xfId="2" applyFont="1"/>
    <xf numFmtId="10" fontId="0" fillId="0" borderId="0" xfId="2" applyNumberFormat="1" applyFont="1"/>
    <xf numFmtId="43" fontId="0" fillId="0" borderId="2" xfId="1" applyFont="1" applyBorder="1"/>
    <xf numFmtId="43" fontId="7" fillId="0" borderId="0" xfId="1" applyFont="1"/>
    <xf numFmtId="43" fontId="2" fillId="0" borderId="0" xfId="1" applyFont="1"/>
    <xf numFmtId="43" fontId="0" fillId="2" borderId="0" xfId="1" applyFont="1" applyFill="1"/>
    <xf numFmtId="43" fontId="9" fillId="0" borderId="0" xfId="1" applyFont="1"/>
    <xf numFmtId="43" fontId="0" fillId="2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 indent="2"/>
    </xf>
    <xf numFmtId="10" fontId="0" fillId="0" borderId="0" xfId="0" applyNumberFormat="1"/>
    <xf numFmtId="0" fontId="0" fillId="0" borderId="2" xfId="0" applyBorder="1"/>
    <xf numFmtId="9" fontId="8" fillId="0" borderId="0" xfId="2" applyFont="1"/>
    <xf numFmtId="43" fontId="0" fillId="0" borderId="0" xfId="1" applyFont="1" applyBorder="1"/>
    <xf numFmtId="0" fontId="10" fillId="0" borderId="0" xfId="0" applyFont="1"/>
    <xf numFmtId="0" fontId="9" fillId="0" borderId="0" xfId="0" applyFont="1"/>
    <xf numFmtId="9" fontId="2" fillId="0" borderId="0" xfId="2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3" fontId="0" fillId="0" borderId="0" xfId="0" applyNumberFormat="1"/>
    <xf numFmtId="0" fontId="0" fillId="0" borderId="1" xfId="0" applyBorder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4" fontId="0" fillId="0" borderId="0" xfId="1" applyNumberFormat="1" applyFont="1"/>
    <xf numFmtId="0" fontId="3" fillId="0" borderId="0" xfId="0" applyFont="1" applyAlignment="1">
      <alignment horizontal="right"/>
    </xf>
    <xf numFmtId="43" fontId="0" fillId="0" borderId="3" xfId="1" applyFont="1" applyBorder="1"/>
    <xf numFmtId="43" fontId="0" fillId="0" borderId="1" xfId="0" applyNumberFormat="1" applyBorder="1"/>
    <xf numFmtId="0" fontId="12" fillId="0" borderId="0" xfId="0" applyFont="1"/>
    <xf numFmtId="43" fontId="12" fillId="0" borderId="0" xfId="1" applyFont="1"/>
    <xf numFmtId="10" fontId="0" fillId="0" borderId="3" xfId="2" applyNumberFormat="1" applyFont="1" applyBorder="1"/>
    <xf numFmtId="16" fontId="0" fillId="0" borderId="0" xfId="0" quotePrefix="1" applyNumberFormat="1"/>
    <xf numFmtId="0" fontId="3" fillId="0" borderId="0" xfId="0" applyFont="1" applyAlignment="1">
      <alignment horizontal="right" wrapText="1"/>
    </xf>
    <xf numFmtId="43" fontId="3" fillId="0" borderId="2" xfId="0" applyNumberFormat="1" applyFont="1" applyBorder="1"/>
    <xf numFmtId="0" fontId="11" fillId="0" borderId="0" xfId="0" applyFont="1"/>
    <xf numFmtId="43" fontId="11" fillId="0" borderId="2" xfId="0" applyNumberFormat="1" applyFont="1" applyBorder="1"/>
    <xf numFmtId="43" fontId="3" fillId="0" borderId="0" xfId="0" applyNumberFormat="1" applyFont="1"/>
    <xf numFmtId="43" fontId="3" fillId="0" borderId="0" xfId="1" applyFont="1"/>
    <xf numFmtId="43" fontId="0" fillId="4" borderId="0" xfId="0" applyNumberFormat="1" applyFill="1"/>
    <xf numFmtId="43" fontId="11" fillId="0" borderId="0" xfId="0" applyNumberFormat="1" applyFont="1"/>
    <xf numFmtId="43" fontId="11" fillId="0" borderId="0" xfId="1" applyFont="1"/>
    <xf numFmtId="0" fontId="3" fillId="0" borderId="0" xfId="0" applyFont="1" applyAlignment="1">
      <alignment horizontal="center"/>
    </xf>
    <xf numFmtId="0" fontId="11" fillId="0" borderId="0" xfId="0" quotePrefix="1" applyFont="1"/>
    <xf numFmtId="0" fontId="13" fillId="0" borderId="0" xfId="0" applyFont="1"/>
    <xf numFmtId="0" fontId="2" fillId="2" borderId="0" xfId="0" applyFont="1" applyFill="1"/>
    <xf numFmtId="43" fontId="2" fillId="2" borderId="0" xfId="1" applyFont="1" applyFill="1"/>
    <xf numFmtId="0" fontId="2" fillId="0" borderId="3" xfId="0" applyFont="1" applyBorder="1"/>
    <xf numFmtId="43" fontId="2" fillId="0" borderId="3" xfId="1" applyFont="1" applyBorder="1"/>
    <xf numFmtId="43" fontId="2" fillId="0" borderId="3" xfId="0" applyNumberFormat="1" applyFont="1" applyBorder="1"/>
    <xf numFmtId="0" fontId="14" fillId="0" borderId="0" xfId="0" applyFont="1"/>
    <xf numFmtId="0" fontId="0" fillId="0" borderId="0" xfId="0" quotePrefix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43" fontId="16" fillId="0" borderId="0" xfId="1" applyFont="1"/>
    <xf numFmtId="0" fontId="0" fillId="0" borderId="0" xfId="0" quotePrefix="1" applyAlignment="1">
      <alignment horizontal="left"/>
    </xf>
    <xf numFmtId="165" fontId="2" fillId="0" borderId="3" xfId="1" applyNumberFormat="1" applyFont="1" applyBorder="1"/>
    <xf numFmtId="166" fontId="0" fillId="0" borderId="0" xfId="0" applyNumberFormat="1"/>
    <xf numFmtId="43" fontId="0" fillId="0" borderId="0" xfId="1" quotePrefix="1" applyFont="1" applyAlignment="1">
      <alignment horizontal="right"/>
    </xf>
    <xf numFmtId="43" fontId="3" fillId="0" borderId="0" xfId="1" applyFont="1" applyAlignment="1">
      <alignment horizontal="right"/>
    </xf>
    <xf numFmtId="0" fontId="3" fillId="0" borderId="0" xfId="0" applyFont="1" applyAlignment="1">
      <alignment horizontal="left"/>
    </xf>
    <xf numFmtId="43" fontId="11" fillId="0" borderId="3" xfId="1" applyFont="1" applyBorder="1"/>
    <xf numFmtId="0" fontId="3" fillId="5" borderId="4" xfId="0" applyFont="1" applyFill="1" applyBorder="1"/>
    <xf numFmtId="0" fontId="3" fillId="6" borderId="4" xfId="0" applyFont="1" applyFill="1" applyBorder="1" applyAlignment="1">
      <alignment wrapText="1"/>
    </xf>
    <xf numFmtId="0" fontId="3" fillId="5" borderId="4" xfId="0" applyFont="1" applyFill="1" applyBorder="1" applyAlignment="1">
      <alignment horizontal="right"/>
    </xf>
    <xf numFmtId="0" fontId="3" fillId="7" borderId="4" xfId="0" applyFont="1" applyFill="1" applyBorder="1" applyAlignment="1">
      <alignment horizontal="right" wrapText="1"/>
    </xf>
    <xf numFmtId="0" fontId="0" fillId="0" borderId="5" xfId="0" applyBorder="1"/>
    <xf numFmtId="0" fontId="0" fillId="6" borderId="5" xfId="0" applyFill="1" applyBorder="1"/>
    <xf numFmtId="43" fontId="0" fillId="0" borderId="5" xfId="1" applyFont="1" applyBorder="1"/>
    <xf numFmtId="43" fontId="0" fillId="7" borderId="5" xfId="1" applyFont="1" applyFill="1" applyBorder="1"/>
    <xf numFmtId="0" fontId="2" fillId="0" borderId="6" xfId="0" applyFont="1" applyBorder="1"/>
    <xf numFmtId="0" fontId="2" fillId="6" borderId="6" xfId="0" applyFont="1" applyFill="1" applyBorder="1"/>
    <xf numFmtId="43" fontId="2" fillId="0" borderId="6" xfId="1" applyFont="1" applyBorder="1"/>
    <xf numFmtId="43" fontId="2" fillId="7" borderId="6" xfId="1" applyFont="1" applyFill="1" applyBorder="1"/>
    <xf numFmtId="0" fontId="18" fillId="0" borderId="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8" xfId="0" applyFont="1" applyBorder="1" applyAlignment="1">
      <alignment horizontal="right" vertical="center" wrapText="1"/>
    </xf>
    <xf numFmtId="0" fontId="0" fillId="0" borderId="8" xfId="0" applyBorder="1"/>
    <xf numFmtId="0" fontId="18" fillId="0" borderId="9" xfId="0" applyFont="1" applyBorder="1" applyAlignment="1">
      <alignment horizontal="right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0" fontId="0" fillId="0" borderId="10" xfId="0" applyBorder="1"/>
    <xf numFmtId="0" fontId="18" fillId="2" borderId="10" xfId="0" applyFont="1" applyFill="1" applyBorder="1" applyAlignment="1">
      <alignment horizontal="right" vertical="center"/>
    </xf>
    <xf numFmtId="0" fontId="0" fillId="0" borderId="9" xfId="0" applyBorder="1"/>
    <xf numFmtId="0" fontId="18" fillId="0" borderId="9" xfId="0" applyFont="1" applyBorder="1" applyAlignment="1">
      <alignment vertical="center"/>
    </xf>
    <xf numFmtId="3" fontId="18" fillId="2" borderId="10" xfId="0" applyNumberFormat="1" applyFont="1" applyFill="1" applyBorder="1" applyAlignment="1">
      <alignment horizontal="right" vertical="center"/>
    </xf>
    <xf numFmtId="0" fontId="19" fillId="0" borderId="10" xfId="0" applyFont="1" applyBorder="1" applyAlignment="1">
      <alignment horizontal="right" vertical="center"/>
    </xf>
    <xf numFmtId="0" fontId="20" fillId="0" borderId="9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right" vertical="center"/>
    </xf>
    <xf numFmtId="3" fontId="20" fillId="0" borderId="10" xfId="0" applyNumberFormat="1" applyFont="1" applyBorder="1" applyAlignment="1">
      <alignment horizontal="right" vertical="center"/>
    </xf>
    <xf numFmtId="0" fontId="18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right" vertical="center"/>
    </xf>
    <xf numFmtId="0" fontId="20" fillId="0" borderId="9" xfId="0" applyFont="1" applyBorder="1" applyAlignment="1">
      <alignment vertical="center"/>
    </xf>
    <xf numFmtId="2" fontId="18" fillId="0" borderId="10" xfId="0" applyNumberFormat="1" applyFont="1" applyBorder="1" applyAlignment="1">
      <alignment horizontal="right" vertical="center"/>
    </xf>
    <xf numFmtId="3" fontId="20" fillId="2" borderId="10" xfId="0" applyNumberFormat="1" applyFont="1" applyFill="1" applyBorder="1" applyAlignment="1">
      <alignment horizontal="right" vertical="center"/>
    </xf>
    <xf numFmtId="3" fontId="20" fillId="0" borderId="10" xfId="0" applyNumberFormat="1" applyFont="1" applyBorder="1" applyAlignment="1">
      <alignment vertical="center"/>
    </xf>
    <xf numFmtId="0" fontId="21" fillId="8" borderId="9" xfId="0" applyFont="1" applyFill="1" applyBorder="1" applyAlignment="1">
      <alignment vertical="center" wrapText="1"/>
    </xf>
    <xf numFmtId="0" fontId="21" fillId="8" borderId="10" xfId="0" applyFont="1" applyFill="1" applyBorder="1" applyAlignment="1">
      <alignment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3" fillId="8" borderId="10" xfId="0" applyFont="1" applyFill="1" applyBorder="1"/>
    <xf numFmtId="0" fontId="19" fillId="9" borderId="9" xfId="0" applyFont="1" applyFill="1" applyBorder="1" applyAlignment="1">
      <alignment horizontal="right" vertical="center"/>
    </xf>
    <xf numFmtId="0" fontId="19" fillId="9" borderId="10" xfId="0" applyFont="1" applyFill="1" applyBorder="1" applyAlignment="1">
      <alignment vertical="center"/>
    </xf>
    <xf numFmtId="43" fontId="19" fillId="9" borderId="10" xfId="1" applyFont="1" applyFill="1" applyBorder="1" applyAlignment="1">
      <alignment horizontal="right" vertical="center"/>
    </xf>
    <xf numFmtId="0" fontId="19" fillId="9" borderId="10" xfId="0" applyFont="1" applyFill="1" applyBorder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2" borderId="10" xfId="0" applyFont="1" applyFill="1" applyBorder="1" applyAlignment="1">
      <alignment horizontal="right" vertical="center"/>
    </xf>
    <xf numFmtId="3" fontId="19" fillId="0" borderId="10" xfId="0" applyNumberFormat="1" applyFont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0" fillId="8" borderId="7" xfId="0" applyFill="1" applyBorder="1" applyAlignment="1">
      <alignment wrapText="1"/>
    </xf>
    <xf numFmtId="0" fontId="2" fillId="7" borderId="7" xfId="0" applyFont="1" applyFill="1" applyBorder="1" applyAlignment="1">
      <alignment wrapText="1"/>
    </xf>
    <xf numFmtId="0" fontId="0" fillId="8" borderId="7" xfId="0" applyFill="1" applyBorder="1" applyAlignment="1">
      <alignment horizontal="right" wrapText="1"/>
    </xf>
    <xf numFmtId="0" fontId="2" fillId="7" borderId="7" xfId="0" applyFont="1" applyFill="1" applyBorder="1" applyAlignment="1">
      <alignment horizontal="right" wrapText="1"/>
    </xf>
    <xf numFmtId="0" fontId="0" fillId="0" borderId="4" xfId="0" applyBorder="1"/>
    <xf numFmtId="0" fontId="2" fillId="7" borderId="4" xfId="0" applyFont="1" applyFill="1" applyBorder="1"/>
    <xf numFmtId="43" fontId="0" fillId="0" borderId="4" xfId="1" applyFont="1" applyBorder="1"/>
    <xf numFmtId="43" fontId="2" fillId="7" borderId="4" xfId="1" applyFont="1" applyFill="1" applyBorder="1"/>
    <xf numFmtId="0" fontId="23" fillId="0" borderId="0" xfId="0" applyFont="1"/>
    <xf numFmtId="0" fontId="2" fillId="7" borderId="5" xfId="0" applyFont="1" applyFill="1" applyBorder="1"/>
    <xf numFmtId="43" fontId="2" fillId="7" borderId="5" xfId="1" applyFont="1" applyFill="1" applyBorder="1"/>
    <xf numFmtId="0" fontId="0" fillId="3" borderId="6" xfId="0" applyFill="1" applyBorder="1"/>
    <xf numFmtId="0" fontId="2" fillId="3" borderId="6" xfId="0" applyFont="1" applyFill="1" applyBorder="1"/>
    <xf numFmtId="43" fontId="0" fillId="3" borderId="6" xfId="1" applyFont="1" applyFill="1" applyBorder="1"/>
    <xf numFmtId="43" fontId="2" fillId="3" borderId="6" xfId="1" applyFont="1" applyFill="1" applyBorder="1"/>
    <xf numFmtId="0" fontId="24" fillId="0" borderId="0" xfId="0" applyFont="1" applyAlignment="1">
      <alignment wrapText="1"/>
    </xf>
    <xf numFmtId="0" fontId="24" fillId="0" borderId="0" xfId="0" applyFont="1"/>
    <xf numFmtId="0" fontId="24" fillId="0" borderId="0" xfId="0" applyFont="1" applyAlignment="1">
      <alignment horizontal="right" wrapText="1"/>
    </xf>
    <xf numFmtId="9" fontId="0" fillId="0" borderId="0" xfId="0" applyNumberFormat="1"/>
    <xf numFmtId="43" fontId="19" fillId="2" borderId="10" xfId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43" fontId="0" fillId="0" borderId="0" xfId="1" applyFont="1" applyAlignment="1">
      <alignment horizontal="left" indent="1"/>
    </xf>
    <xf numFmtId="0" fontId="2" fillId="2" borderId="0" xfId="0" applyFont="1" applyFill="1" applyAlignment="1">
      <alignment horizontal="center"/>
    </xf>
    <xf numFmtId="43" fontId="2" fillId="0" borderId="2" xfId="0" applyNumberFormat="1" applyFont="1" applyBorder="1"/>
    <xf numFmtId="43" fontId="2" fillId="0" borderId="2" xfId="1" applyFont="1" applyBorder="1"/>
    <xf numFmtId="0" fontId="2" fillId="0" borderId="0" xfId="0" quotePrefix="1" applyFont="1"/>
    <xf numFmtId="164" fontId="0" fillId="0" borderId="0" xfId="0" applyNumberFormat="1"/>
    <xf numFmtId="164" fontId="0" fillId="0" borderId="2" xfId="0" applyNumberFormat="1" applyBorder="1"/>
    <xf numFmtId="164" fontId="2" fillId="0" borderId="0" xfId="0" applyNumberFormat="1" applyFont="1"/>
    <xf numFmtId="164" fontId="2" fillId="0" borderId="2" xfId="0" applyNumberFormat="1" applyFont="1" applyBorder="1"/>
    <xf numFmtId="43" fontId="25" fillId="0" borderId="0" xfId="1" applyFont="1"/>
    <xf numFmtId="0" fontId="3" fillId="2" borderId="0" xfId="0" applyFont="1" applyFill="1"/>
    <xf numFmtId="43" fontId="11" fillId="0" borderId="3" xfId="0" applyNumberFormat="1" applyFont="1" applyBorder="1"/>
    <xf numFmtId="9" fontId="11" fillId="0" borderId="3" xfId="2" applyFont="1" applyBorder="1"/>
    <xf numFmtId="10" fontId="0" fillId="10" borderId="0" xfId="0" applyNumberFormat="1" applyFill="1"/>
    <xf numFmtId="43" fontId="0" fillId="2" borderId="2" xfId="1" applyFont="1" applyFill="1" applyBorder="1"/>
    <xf numFmtId="10" fontId="0" fillId="10" borderId="0" xfId="2" applyNumberFormat="1" applyFont="1" applyFill="1"/>
    <xf numFmtId="43" fontId="2" fillId="0" borderId="0" xfId="0" applyNumberFormat="1" applyFont="1"/>
    <xf numFmtId="43" fontId="26" fillId="0" borderId="0" xfId="0" applyNumberFormat="1" applyFont="1"/>
    <xf numFmtId="43" fontId="26" fillId="0" borderId="0" xfId="1" applyFont="1"/>
    <xf numFmtId="164" fontId="0" fillId="0" borderId="1" xfId="1" applyNumberFormat="1" applyFont="1" applyBorder="1"/>
    <xf numFmtId="0" fontId="3" fillId="8" borderId="0" xfId="0" applyFont="1" applyFill="1"/>
    <xf numFmtId="0" fontId="3" fillId="8" borderId="0" xfId="0" applyFont="1" applyFill="1" applyAlignment="1">
      <alignment horizontal="right" wrapText="1"/>
    </xf>
    <xf numFmtId="0" fontId="3" fillId="8" borderId="0" xfId="0" applyFont="1" applyFill="1" applyAlignment="1">
      <alignment wrapText="1"/>
    </xf>
    <xf numFmtId="0" fontId="11" fillId="8" borderId="0" xfId="0" applyFont="1" applyFill="1" applyAlignment="1">
      <alignment horizontal="right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11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18" fillId="0" borderId="8" xfId="0" applyFont="1" applyBorder="1" applyAlignment="1">
      <alignment horizontal="right" vertical="center"/>
    </xf>
    <xf numFmtId="0" fontId="22" fillId="6" borderId="11" xfId="0" applyFont="1" applyFill="1" applyBorder="1" applyAlignment="1">
      <alignment horizontal="center"/>
    </xf>
    <xf numFmtId="0" fontId="22" fillId="6" borderId="12" xfId="0" applyFont="1" applyFill="1" applyBorder="1" applyAlignment="1">
      <alignment horizontal="center"/>
    </xf>
    <xf numFmtId="0" fontId="22" fillId="6" borderId="8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0" fontId="0" fillId="0" borderId="9" xfId="0" applyBorder="1" applyAlignment="1"/>
    <xf numFmtId="0" fontId="20" fillId="0" borderId="13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9" xfId="0" applyFon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33</xdr:row>
      <xdr:rowOff>76200</xdr:rowOff>
    </xdr:from>
    <xdr:to>
      <xdr:col>5</xdr:col>
      <xdr:colOff>828675</xdr:colOff>
      <xdr:row>38</xdr:row>
      <xdr:rowOff>57150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4848225" y="6362700"/>
          <a:ext cx="1752600" cy="933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352424</xdr:colOff>
      <xdr:row>19</xdr:row>
      <xdr:rowOff>114300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57149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314324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885825</xdr:colOff>
      <xdr:row>1</xdr:row>
      <xdr:rowOff>161925</xdr:rowOff>
    </xdr:from>
    <xdr:to>
      <xdr:col>4</xdr:col>
      <xdr:colOff>571500</xdr:colOff>
      <xdr:row>3</xdr:row>
      <xdr:rowOff>66675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 flipH="1">
          <a:off x="2714625" y="352425"/>
          <a:ext cx="628650" cy="2857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3</xdr:row>
      <xdr:rowOff>171450</xdr:rowOff>
    </xdr:from>
    <xdr:to>
      <xdr:col>3</xdr:col>
      <xdr:colOff>371476</xdr:colOff>
      <xdr:row>5</xdr:row>
      <xdr:rowOff>66675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CxnSpPr/>
      </xdr:nvCxnSpPr>
      <xdr:spPr>
        <a:xfrm flipH="1">
          <a:off x="2190750" y="742950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5</xdr:row>
      <xdr:rowOff>161925</xdr:rowOff>
    </xdr:from>
    <xdr:to>
      <xdr:col>3</xdr:col>
      <xdr:colOff>361951</xdr:colOff>
      <xdr:row>7</xdr:row>
      <xdr:rowOff>409575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CxnSpPr/>
      </xdr:nvCxnSpPr>
      <xdr:spPr>
        <a:xfrm flipH="1">
          <a:off x="2181225" y="1114425"/>
          <a:ext cx="9526" cy="628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781050</xdr:colOff>
      <xdr:row>1</xdr:row>
      <xdr:rowOff>142875</xdr:rowOff>
    </xdr:from>
    <xdr:to>
      <xdr:col>7</xdr:col>
      <xdr:colOff>266700</xdr:colOff>
      <xdr:row>3</xdr:row>
      <xdr:rowOff>19050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CxnSpPr/>
      </xdr:nvCxnSpPr>
      <xdr:spPr>
        <a:xfrm>
          <a:off x="4772025" y="333375"/>
          <a:ext cx="419100" cy="2571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171450</xdr:colOff>
      <xdr:row>3</xdr:row>
      <xdr:rowOff>171450</xdr:rowOff>
    </xdr:from>
    <xdr:to>
      <xdr:col>7</xdr:col>
      <xdr:colOff>161926</xdr:colOff>
      <xdr:row>4</xdr:row>
      <xdr:rowOff>161925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CxnSpPr/>
      </xdr:nvCxnSpPr>
      <xdr:spPr>
        <a:xfrm flipH="1">
          <a:off x="4162425" y="742950"/>
          <a:ext cx="600076" cy="1809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3</xdr:row>
      <xdr:rowOff>161925</xdr:rowOff>
    </xdr:from>
    <xdr:to>
      <xdr:col>9</xdr:col>
      <xdr:colOff>57150</xdr:colOff>
      <xdr:row>4</xdr:row>
      <xdr:rowOff>123825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CxnSpPr/>
      </xdr:nvCxnSpPr>
      <xdr:spPr>
        <a:xfrm>
          <a:off x="5172075" y="733425"/>
          <a:ext cx="704850" cy="1524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276225</xdr:colOff>
      <xdr:row>5</xdr:row>
      <xdr:rowOff>142875</xdr:rowOff>
    </xdr:from>
    <xdr:to>
      <xdr:col>6</xdr:col>
      <xdr:colOff>285751</xdr:colOff>
      <xdr:row>7</xdr:row>
      <xdr:rowOff>38100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CxnSpPr/>
      </xdr:nvCxnSpPr>
      <xdr:spPr>
        <a:xfrm flipH="1">
          <a:off x="4267200" y="1095375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7</xdr:row>
      <xdr:rowOff>742950</xdr:rowOff>
    </xdr:from>
    <xdr:to>
      <xdr:col>6</xdr:col>
      <xdr:colOff>266701</xdr:colOff>
      <xdr:row>9</xdr:row>
      <xdr:rowOff>66675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CxnSpPr/>
      </xdr:nvCxnSpPr>
      <xdr:spPr>
        <a:xfrm flipH="1">
          <a:off x="4248150" y="2076450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</xdr:row>
      <xdr:rowOff>9525</xdr:rowOff>
    </xdr:from>
    <xdr:to>
      <xdr:col>10</xdr:col>
      <xdr:colOff>19051</xdr:colOff>
      <xdr:row>7</xdr:row>
      <xdr:rowOff>95250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CxnSpPr/>
      </xdr:nvCxnSpPr>
      <xdr:spPr>
        <a:xfrm flipH="1">
          <a:off x="6762750" y="1152525"/>
          <a:ext cx="9526" cy="2762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581025</xdr:colOff>
      <xdr:row>7</xdr:row>
      <xdr:rowOff>190500</xdr:rowOff>
    </xdr:from>
    <xdr:to>
      <xdr:col>9</xdr:col>
      <xdr:colOff>523876</xdr:colOff>
      <xdr:row>7</xdr:row>
      <xdr:rowOff>733425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0000000-0008-0000-0300-000015000000}"/>
            </a:ext>
          </a:extLst>
        </xdr:cNvPr>
        <xdr:cNvCxnSpPr/>
      </xdr:nvCxnSpPr>
      <xdr:spPr>
        <a:xfrm flipH="1">
          <a:off x="6115050" y="1524000"/>
          <a:ext cx="552451" cy="5429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161926</xdr:colOff>
      <xdr:row>7</xdr:row>
      <xdr:rowOff>190500</xdr:rowOff>
    </xdr:from>
    <xdr:to>
      <xdr:col>10</xdr:col>
      <xdr:colOff>276225</xdr:colOff>
      <xdr:row>7</xdr:row>
      <xdr:rowOff>723900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CxnSpPr/>
      </xdr:nvCxnSpPr>
      <xdr:spPr>
        <a:xfrm>
          <a:off x="6915151" y="1524000"/>
          <a:ext cx="114299" cy="5334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409576</xdr:colOff>
      <xdr:row>7</xdr:row>
      <xdr:rowOff>104775</xdr:rowOff>
    </xdr:from>
    <xdr:to>
      <xdr:col>12</xdr:col>
      <xdr:colOff>114300</xdr:colOff>
      <xdr:row>7</xdr:row>
      <xdr:rowOff>752475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CxnSpPr/>
      </xdr:nvCxnSpPr>
      <xdr:spPr>
        <a:xfrm>
          <a:off x="7162801" y="1438275"/>
          <a:ext cx="923924" cy="6477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542925</xdr:colOff>
      <xdr:row>9</xdr:row>
      <xdr:rowOff>38100</xdr:rowOff>
    </xdr:from>
    <xdr:to>
      <xdr:col>10</xdr:col>
      <xdr:colOff>552450</xdr:colOff>
      <xdr:row>9</xdr:row>
      <xdr:rowOff>571500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00000000-0008-0000-0300-00001C000000}"/>
            </a:ext>
          </a:extLst>
        </xdr:cNvPr>
        <xdr:cNvCxnSpPr/>
      </xdr:nvCxnSpPr>
      <xdr:spPr>
        <a:xfrm>
          <a:off x="7296150" y="2324100"/>
          <a:ext cx="9525" cy="5334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133349</xdr:colOff>
      <xdr:row>13</xdr:row>
      <xdr:rowOff>114300</xdr:rowOff>
    </xdr:to>
    <xdr:sp macro="" textlink="">
      <xdr:nvSpPr>
        <xdr:cNvPr id="15" name="Rectangle 1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</xdr:row>
      <xdr:rowOff>0</xdr:rowOff>
    </xdr:from>
    <xdr:to>
      <xdr:col>6</xdr:col>
      <xdr:colOff>19050</xdr:colOff>
      <xdr:row>3</xdr:row>
      <xdr:rowOff>161925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E9BE9EBF-81B9-4A2A-BCF3-98E33EC03656}"/>
            </a:ext>
          </a:extLst>
        </xdr:cNvPr>
        <xdr:cNvCxnSpPr/>
      </xdr:nvCxnSpPr>
      <xdr:spPr>
        <a:xfrm flipH="1">
          <a:off x="2667000" y="381000"/>
          <a:ext cx="1009650" cy="3524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2</xdr:row>
      <xdr:rowOff>9525</xdr:rowOff>
    </xdr:from>
    <xdr:to>
      <xdr:col>7</xdr:col>
      <xdr:colOff>571500</xdr:colOff>
      <xdr:row>3</xdr:row>
      <xdr:rowOff>142875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45A6EE3-931D-429E-9C0B-D1AEEEDB1A2B}"/>
            </a:ext>
          </a:extLst>
        </xdr:cNvPr>
        <xdr:cNvCxnSpPr/>
      </xdr:nvCxnSpPr>
      <xdr:spPr>
        <a:xfrm>
          <a:off x="3695700" y="390525"/>
          <a:ext cx="1143000" cy="3238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4</xdr:row>
      <xdr:rowOff>152400</xdr:rowOff>
    </xdr:from>
    <xdr:to>
      <xdr:col>4</xdr:col>
      <xdr:colOff>295275</xdr:colOff>
      <xdr:row>7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9D5103C5-0389-4A15-83B3-6806EE1F46FB}"/>
            </a:ext>
          </a:extLst>
        </xdr:cNvPr>
        <xdr:cNvCxnSpPr/>
      </xdr:nvCxnSpPr>
      <xdr:spPr>
        <a:xfrm flipH="1">
          <a:off x="2724150" y="914400"/>
          <a:ext cx="9525" cy="4953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180975</xdr:colOff>
      <xdr:row>5</xdr:row>
      <xdr:rowOff>9525</xdr:rowOff>
    </xdr:from>
    <xdr:to>
      <xdr:col>9</xdr:col>
      <xdr:colOff>57150</xdr:colOff>
      <xdr:row>6</xdr:row>
      <xdr:rowOff>66675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9623CCE2-756C-4443-AB70-B43CF8CB8436}"/>
            </a:ext>
          </a:extLst>
        </xdr:cNvPr>
        <xdr:cNvCxnSpPr/>
      </xdr:nvCxnSpPr>
      <xdr:spPr>
        <a:xfrm flipH="1">
          <a:off x="5057775" y="962025"/>
          <a:ext cx="485775" cy="247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6</xdr:row>
      <xdr:rowOff>180975</xdr:rowOff>
    </xdr:from>
    <xdr:to>
      <xdr:col>8</xdr:col>
      <xdr:colOff>542925</xdr:colOff>
      <xdr:row>8</xdr:row>
      <xdr:rowOff>47625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E042E662-D505-44E2-BCEB-95CBBE6244CB}"/>
            </a:ext>
          </a:extLst>
        </xdr:cNvPr>
        <xdr:cNvCxnSpPr/>
      </xdr:nvCxnSpPr>
      <xdr:spPr>
        <a:xfrm flipH="1">
          <a:off x="4933950" y="1323975"/>
          <a:ext cx="485775" cy="247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6</xdr:row>
      <xdr:rowOff>171450</xdr:rowOff>
    </xdr:from>
    <xdr:to>
      <xdr:col>9</xdr:col>
      <xdr:colOff>447675</xdr:colOff>
      <xdr:row>8</xdr:row>
      <xdr:rowOff>38100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181B39FB-5638-45B1-87DC-89A03781CA60}"/>
            </a:ext>
          </a:extLst>
        </xdr:cNvPr>
        <xdr:cNvCxnSpPr/>
      </xdr:nvCxnSpPr>
      <xdr:spPr>
        <a:xfrm>
          <a:off x="5419725" y="1314450"/>
          <a:ext cx="514350" cy="2476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8</xdr:row>
      <xdr:rowOff>171450</xdr:rowOff>
    </xdr:from>
    <xdr:to>
      <xdr:col>7</xdr:col>
      <xdr:colOff>361950</xdr:colOff>
      <xdr:row>11</xdr:row>
      <xdr:rowOff>95250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FB231BE5-326E-47EE-AEB9-BBF7C0382442}"/>
            </a:ext>
          </a:extLst>
        </xdr:cNvPr>
        <xdr:cNvCxnSpPr/>
      </xdr:nvCxnSpPr>
      <xdr:spPr>
        <a:xfrm flipH="1">
          <a:off x="4619625" y="1695450"/>
          <a:ext cx="9525" cy="4953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8</xdr:row>
      <xdr:rowOff>180975</xdr:rowOff>
    </xdr:from>
    <xdr:to>
      <xdr:col>9</xdr:col>
      <xdr:colOff>333375</xdr:colOff>
      <xdr:row>10</xdr:row>
      <xdr:rowOff>180975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xmlns="" id="{90AD38CE-5D4F-475B-9781-1E8D53198DF0}"/>
            </a:ext>
          </a:extLst>
        </xdr:cNvPr>
        <xdr:cNvCxnSpPr/>
      </xdr:nvCxnSpPr>
      <xdr:spPr>
        <a:xfrm>
          <a:off x="5810250" y="17049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</xdr:row>
      <xdr:rowOff>9525</xdr:rowOff>
    </xdr:from>
    <xdr:to>
      <xdr:col>11</xdr:col>
      <xdr:colOff>285750</xdr:colOff>
      <xdr:row>6</xdr:row>
      <xdr:rowOff>38100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xmlns="" id="{EE175BAC-4784-4174-9619-F20EAD064169}"/>
            </a:ext>
          </a:extLst>
        </xdr:cNvPr>
        <xdr:cNvCxnSpPr/>
      </xdr:nvCxnSpPr>
      <xdr:spPr>
        <a:xfrm>
          <a:off x="6096000" y="962025"/>
          <a:ext cx="895350" cy="2190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552450</xdr:colOff>
      <xdr:row>7</xdr:row>
      <xdr:rowOff>9525</xdr:rowOff>
    </xdr:from>
    <xdr:to>
      <xdr:col>11</xdr:col>
      <xdr:colOff>552450</xdr:colOff>
      <xdr:row>10</xdr:row>
      <xdr:rowOff>47625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xmlns="" id="{DE89A259-B031-4A9D-8825-CFCD8D6BD996}"/>
            </a:ext>
          </a:extLst>
        </xdr:cNvPr>
        <xdr:cNvCxnSpPr/>
      </xdr:nvCxnSpPr>
      <xdr:spPr>
        <a:xfrm>
          <a:off x="7258050" y="1343025"/>
          <a:ext cx="0" cy="6096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533399</xdr:colOff>
      <xdr:row>19</xdr:row>
      <xdr:rowOff>114300</xdr:rowOff>
    </xdr:to>
    <xdr:sp macro="" textlink="">
      <xdr:nvSpPr>
        <xdr:cNvPr id="12" name="Rectangle 1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161924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133349</xdr:colOff>
      <xdr:row>19</xdr:row>
      <xdr:rowOff>28575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514349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247649</xdr:colOff>
      <xdr:row>19</xdr:row>
      <xdr:rowOff>38100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4</xdr:row>
      <xdr:rowOff>152400</xdr:rowOff>
    </xdr:from>
    <xdr:to>
      <xdr:col>7</xdr:col>
      <xdr:colOff>19050</xdr:colOff>
      <xdr:row>23</xdr:row>
      <xdr:rowOff>66675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963AF90-4BD5-4B80-A15A-6F8FEFFA8EB5}"/>
            </a:ext>
          </a:extLst>
        </xdr:cNvPr>
        <xdr:cNvCxnSpPr/>
      </xdr:nvCxnSpPr>
      <xdr:spPr>
        <a:xfrm flipH="1" flipV="1">
          <a:off x="7019925" y="914400"/>
          <a:ext cx="9525" cy="35337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11</xdr:row>
      <xdr:rowOff>171450</xdr:rowOff>
    </xdr:from>
    <xdr:to>
      <xdr:col>17</xdr:col>
      <xdr:colOff>390525</xdr:colOff>
      <xdr:row>12</xdr:row>
      <xdr:rowOff>9525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D13840DA-82DA-44BE-9E40-3C13A1CB1A61}"/>
            </a:ext>
          </a:extLst>
        </xdr:cNvPr>
        <xdr:cNvCxnSpPr/>
      </xdr:nvCxnSpPr>
      <xdr:spPr>
        <a:xfrm>
          <a:off x="5819775" y="2266950"/>
          <a:ext cx="6457950" cy="285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742950</xdr:colOff>
      <xdr:row>21</xdr:row>
      <xdr:rowOff>95250</xdr:rowOff>
    </xdr:from>
    <xdr:to>
      <xdr:col>7</xdr:col>
      <xdr:colOff>85725</xdr:colOff>
      <xdr:row>22</xdr:row>
      <xdr:rowOff>38100</xdr:rowOff>
    </xdr:to>
    <xdr:sp macro="" textlink="">
      <xdr:nvSpPr>
        <xdr:cNvPr id="11" name="Star: 5 Points 10">
          <a:extLst>
            <a:ext uri="{FF2B5EF4-FFF2-40B4-BE49-F238E27FC236}">
              <a16:creationId xmlns:a16="http://schemas.microsoft.com/office/drawing/2014/main" xmlns="" id="{97D649CA-CFAB-49E7-B497-1D98C74EF9C9}"/>
            </a:ext>
          </a:extLst>
        </xdr:cNvPr>
        <xdr:cNvSpPr/>
      </xdr:nvSpPr>
      <xdr:spPr>
        <a:xfrm>
          <a:off x="5715000" y="409575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295275</xdr:colOff>
      <xdr:row>17</xdr:row>
      <xdr:rowOff>114300</xdr:rowOff>
    </xdr:from>
    <xdr:to>
      <xdr:col>8</xdr:col>
      <xdr:colOff>457200</xdr:colOff>
      <xdr:row>18</xdr:row>
      <xdr:rowOff>57150</xdr:rowOff>
    </xdr:to>
    <xdr:sp macro="" textlink="">
      <xdr:nvSpPr>
        <xdr:cNvPr id="12" name="Star: 5 Points 11">
          <a:extLst>
            <a:ext uri="{FF2B5EF4-FFF2-40B4-BE49-F238E27FC236}">
              <a16:creationId xmlns:a16="http://schemas.microsoft.com/office/drawing/2014/main" xmlns="" id="{B00B9B43-7686-43D4-BF65-AF6834DFDC90}"/>
            </a:ext>
          </a:extLst>
        </xdr:cNvPr>
        <xdr:cNvSpPr/>
      </xdr:nvSpPr>
      <xdr:spPr>
        <a:xfrm>
          <a:off x="6696075" y="335280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523875</xdr:colOff>
      <xdr:row>12</xdr:row>
      <xdr:rowOff>114300</xdr:rowOff>
    </xdr:from>
    <xdr:to>
      <xdr:col>11</xdr:col>
      <xdr:colOff>76200</xdr:colOff>
      <xdr:row>13</xdr:row>
      <xdr:rowOff>57150</xdr:rowOff>
    </xdr:to>
    <xdr:sp macro="" textlink="">
      <xdr:nvSpPr>
        <xdr:cNvPr id="13" name="Star: 5 Points 12">
          <a:extLst>
            <a:ext uri="{FF2B5EF4-FFF2-40B4-BE49-F238E27FC236}">
              <a16:creationId xmlns:a16="http://schemas.microsoft.com/office/drawing/2014/main" xmlns="" id="{4506B84E-CC91-409E-B87F-97F0A44A99CD}"/>
            </a:ext>
          </a:extLst>
        </xdr:cNvPr>
        <xdr:cNvSpPr/>
      </xdr:nvSpPr>
      <xdr:spPr>
        <a:xfrm>
          <a:off x="8143875" y="240030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533400</xdr:colOff>
      <xdr:row>6</xdr:row>
      <xdr:rowOff>104775</xdr:rowOff>
    </xdr:from>
    <xdr:to>
      <xdr:col>17</xdr:col>
      <xdr:colOff>85725</xdr:colOff>
      <xdr:row>7</xdr:row>
      <xdr:rowOff>47625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xmlns="" id="{D10AEE36-0765-4BC2-80CD-D0113F024DE8}"/>
            </a:ext>
          </a:extLst>
        </xdr:cNvPr>
        <xdr:cNvSpPr/>
      </xdr:nvSpPr>
      <xdr:spPr>
        <a:xfrm>
          <a:off x="11811000" y="124777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85725</xdr:colOff>
      <xdr:row>18</xdr:row>
      <xdr:rowOff>57150</xdr:rowOff>
    </xdr:from>
    <xdr:to>
      <xdr:col>8</xdr:col>
      <xdr:colOff>326200</xdr:colOff>
      <xdr:row>21</xdr:row>
      <xdr:rowOff>146185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C44A14F7-B8A2-4BEE-B55F-0C598D594682}"/>
            </a:ext>
          </a:extLst>
        </xdr:cNvPr>
        <xdr:cNvCxnSpPr>
          <a:stCxn id="11" idx="4"/>
          <a:endCxn id="12" idx="2"/>
        </xdr:cNvCxnSpPr>
      </xdr:nvCxnSpPr>
      <xdr:spPr>
        <a:xfrm flipV="1">
          <a:off x="5876925" y="3486150"/>
          <a:ext cx="850075" cy="6605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13</xdr:row>
      <xdr:rowOff>57150</xdr:rowOff>
    </xdr:from>
    <xdr:to>
      <xdr:col>10</xdr:col>
      <xdr:colOff>554800</xdr:colOff>
      <xdr:row>18</xdr:row>
      <xdr:rowOff>31885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xmlns="" id="{61521074-6D45-4798-9A28-3AB28DBE473A}"/>
            </a:ext>
          </a:extLst>
        </xdr:cNvPr>
        <xdr:cNvCxnSpPr>
          <a:endCxn id="13" idx="2"/>
        </xdr:cNvCxnSpPr>
      </xdr:nvCxnSpPr>
      <xdr:spPr>
        <a:xfrm flipV="1">
          <a:off x="6743700" y="2533650"/>
          <a:ext cx="1431100" cy="92723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</xdr:row>
      <xdr:rowOff>155710</xdr:rowOff>
    </xdr:from>
    <xdr:to>
      <xdr:col>17</xdr:col>
      <xdr:colOff>85725</xdr:colOff>
      <xdr:row>13</xdr:row>
      <xdr:rowOff>3310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xmlns="" id="{9A904376-48ED-4EDA-B78A-CCDE38636C87}"/>
            </a:ext>
          </a:extLst>
        </xdr:cNvPr>
        <xdr:cNvCxnSpPr>
          <a:endCxn id="14" idx="4"/>
        </xdr:cNvCxnSpPr>
      </xdr:nvCxnSpPr>
      <xdr:spPr>
        <a:xfrm flipV="1">
          <a:off x="8229600" y="1298710"/>
          <a:ext cx="3743325" cy="11811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57150</xdr:colOff>
      <xdr:row>7</xdr:row>
      <xdr:rowOff>152400</xdr:rowOff>
    </xdr:from>
    <xdr:to>
      <xdr:col>13</xdr:col>
      <xdr:colOff>457200</xdr:colOff>
      <xdr:row>9</xdr:row>
      <xdr:rowOff>142875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5CD49311-85CC-44D2-9EBB-8152D4209D59}"/>
            </a:ext>
          </a:extLst>
        </xdr:cNvPr>
        <xdr:cNvCxnSpPr/>
      </xdr:nvCxnSpPr>
      <xdr:spPr>
        <a:xfrm>
          <a:off x="9505950" y="1485900"/>
          <a:ext cx="400050" cy="3714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6</xdr:row>
      <xdr:rowOff>47625</xdr:rowOff>
    </xdr:from>
    <xdr:to>
      <xdr:col>17</xdr:col>
      <xdr:colOff>295275</xdr:colOff>
      <xdr:row>23</xdr:row>
      <xdr:rowOff>47625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xmlns="" id="{1D9CFB4C-17D0-4EF6-8D7D-4E376A398CD9}"/>
            </a:ext>
          </a:extLst>
        </xdr:cNvPr>
        <xdr:cNvCxnSpPr/>
      </xdr:nvCxnSpPr>
      <xdr:spPr>
        <a:xfrm flipV="1">
          <a:off x="5286375" y="1190625"/>
          <a:ext cx="6896100" cy="3238500"/>
        </a:xfrm>
        <a:prstGeom prst="lin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523875</xdr:colOff>
      <xdr:row>15</xdr:row>
      <xdr:rowOff>28575</xdr:rowOff>
    </xdr:from>
    <xdr:to>
      <xdr:col>12</xdr:col>
      <xdr:colOff>142875</xdr:colOff>
      <xdr:row>17</xdr:row>
      <xdr:rowOff>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5FA33125-155B-475E-BFD4-0DCC865C79BB}"/>
            </a:ext>
          </a:extLst>
        </xdr:cNvPr>
        <xdr:cNvCxnSpPr/>
      </xdr:nvCxnSpPr>
      <xdr:spPr>
        <a:xfrm flipH="1" flipV="1">
          <a:off x="8753475" y="2886075"/>
          <a:ext cx="22860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371475</xdr:colOff>
      <xdr:row>11</xdr:row>
      <xdr:rowOff>142875</xdr:rowOff>
    </xdr:from>
    <xdr:to>
      <xdr:col>13</xdr:col>
      <xdr:colOff>438150</xdr:colOff>
      <xdr:row>12</xdr:row>
      <xdr:rowOff>38100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xmlns="" id="{7B400B3E-9178-492D-8876-5EDCE502D1B2}"/>
            </a:ext>
          </a:extLst>
        </xdr:cNvPr>
        <xdr:cNvSpPr/>
      </xdr:nvSpPr>
      <xdr:spPr>
        <a:xfrm>
          <a:off x="9820275" y="2238375"/>
          <a:ext cx="66675" cy="857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419099</xdr:colOff>
      <xdr:row>12</xdr:row>
      <xdr:rowOff>57153</xdr:rowOff>
    </xdr:from>
    <xdr:to>
      <xdr:col>16</xdr:col>
      <xdr:colOff>590549</xdr:colOff>
      <xdr:row>14</xdr:row>
      <xdr:rowOff>19051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xmlns="" id="{3DFA666F-7C75-48ED-B9B6-259A1CC2932C}"/>
            </a:ext>
          </a:extLst>
        </xdr:cNvPr>
        <xdr:cNvSpPr/>
      </xdr:nvSpPr>
      <xdr:spPr>
        <a:xfrm rot="5400000">
          <a:off x="10696575" y="1514477"/>
          <a:ext cx="342898" cy="200025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581024</xdr:colOff>
      <xdr:row>19</xdr:row>
      <xdr:rowOff>114300</xdr:rowOff>
    </xdr:to>
    <xdr:sp macro="" textlink="">
      <xdr:nvSpPr>
        <xdr:cNvPr id="18" name="Rectangle 17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38100</xdr:rowOff>
    </xdr:from>
    <xdr:to>
      <xdr:col>8</xdr:col>
      <xdr:colOff>9525</xdr:colOff>
      <xdr:row>25</xdr:row>
      <xdr:rowOff>85725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FFB81EF6-A9D6-4B7C-9B31-5D151E270CEE}"/>
            </a:ext>
          </a:extLst>
        </xdr:cNvPr>
        <xdr:cNvCxnSpPr/>
      </xdr:nvCxnSpPr>
      <xdr:spPr>
        <a:xfrm flipH="1" flipV="1">
          <a:off x="6591300" y="1019175"/>
          <a:ext cx="9525" cy="38576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742950</xdr:colOff>
      <xdr:row>9</xdr:row>
      <xdr:rowOff>180975</xdr:rowOff>
    </xdr:from>
    <xdr:to>
      <xdr:col>16</xdr:col>
      <xdr:colOff>161925</xdr:colOff>
      <xdr:row>10</xdr:row>
      <xdr:rowOff>9525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FC00FA0E-3F19-4B07-8C75-AFB1A5157DEE}"/>
            </a:ext>
          </a:extLst>
        </xdr:cNvPr>
        <xdr:cNvCxnSpPr/>
      </xdr:nvCxnSpPr>
      <xdr:spPr>
        <a:xfrm>
          <a:off x="6581775" y="1924050"/>
          <a:ext cx="5048250" cy="19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695325</xdr:colOff>
      <xdr:row>24</xdr:row>
      <xdr:rowOff>85725</xdr:rowOff>
    </xdr:from>
    <xdr:to>
      <xdr:col>8</xdr:col>
      <xdr:colOff>104775</xdr:colOff>
      <xdr:row>25</xdr:row>
      <xdr:rowOff>28575</xdr:rowOff>
    </xdr:to>
    <xdr:sp macro="" textlink="">
      <xdr:nvSpPr>
        <xdr:cNvPr id="7" name="Star: 5 Points 6">
          <a:extLst>
            <a:ext uri="{FF2B5EF4-FFF2-40B4-BE49-F238E27FC236}">
              <a16:creationId xmlns:a16="http://schemas.microsoft.com/office/drawing/2014/main" xmlns="" id="{02421ABC-DFDF-440B-B198-D986814E62F9}"/>
            </a:ext>
          </a:extLst>
        </xdr:cNvPr>
        <xdr:cNvSpPr/>
      </xdr:nvSpPr>
      <xdr:spPr>
        <a:xfrm>
          <a:off x="6534150" y="468630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276225</xdr:colOff>
      <xdr:row>22</xdr:row>
      <xdr:rowOff>19050</xdr:rowOff>
    </xdr:from>
    <xdr:to>
      <xdr:col>8</xdr:col>
      <xdr:colOff>438150</xdr:colOff>
      <xdr:row>22</xdr:row>
      <xdr:rowOff>152400</xdr:rowOff>
    </xdr:to>
    <xdr:sp macro="" textlink="">
      <xdr:nvSpPr>
        <xdr:cNvPr id="8" name="Star: 5 Points 7">
          <a:extLst>
            <a:ext uri="{FF2B5EF4-FFF2-40B4-BE49-F238E27FC236}">
              <a16:creationId xmlns:a16="http://schemas.microsoft.com/office/drawing/2014/main" xmlns="" id="{BF5D0604-6283-4962-9454-54CCAD4AB486}"/>
            </a:ext>
          </a:extLst>
        </xdr:cNvPr>
        <xdr:cNvSpPr/>
      </xdr:nvSpPr>
      <xdr:spPr>
        <a:xfrm>
          <a:off x="6867525" y="423862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219075</xdr:colOff>
      <xdr:row>14</xdr:row>
      <xdr:rowOff>180975</xdr:rowOff>
    </xdr:from>
    <xdr:to>
      <xdr:col>10</xdr:col>
      <xdr:colOff>381000</xdr:colOff>
      <xdr:row>15</xdr:row>
      <xdr:rowOff>123825</xdr:rowOff>
    </xdr:to>
    <xdr:sp macro="" textlink="">
      <xdr:nvSpPr>
        <xdr:cNvPr id="9" name="Star: 5 Points 8">
          <a:extLst>
            <a:ext uri="{FF2B5EF4-FFF2-40B4-BE49-F238E27FC236}">
              <a16:creationId xmlns:a16="http://schemas.microsoft.com/office/drawing/2014/main" xmlns="" id="{06066D19-8F51-433F-98EE-7FF2FB42671B}"/>
            </a:ext>
          </a:extLst>
        </xdr:cNvPr>
        <xdr:cNvSpPr/>
      </xdr:nvSpPr>
      <xdr:spPr>
        <a:xfrm>
          <a:off x="8029575" y="2876550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333375</xdr:colOff>
      <xdr:row>6</xdr:row>
      <xdr:rowOff>57150</xdr:rowOff>
    </xdr:from>
    <xdr:to>
      <xdr:col>14</xdr:col>
      <xdr:colOff>495300</xdr:colOff>
      <xdr:row>7</xdr:row>
      <xdr:rowOff>0</xdr:rowOff>
    </xdr:to>
    <xdr:sp macro="" textlink="">
      <xdr:nvSpPr>
        <xdr:cNvPr id="10" name="Star: 5 Points 9">
          <a:extLst>
            <a:ext uri="{FF2B5EF4-FFF2-40B4-BE49-F238E27FC236}">
              <a16:creationId xmlns:a16="http://schemas.microsoft.com/office/drawing/2014/main" xmlns="" id="{96D218E1-50A5-4EE2-85BA-DD8D2202C4E7}"/>
            </a:ext>
          </a:extLst>
        </xdr:cNvPr>
        <xdr:cNvSpPr/>
      </xdr:nvSpPr>
      <xdr:spPr>
        <a:xfrm>
          <a:off x="10582275" y="1228725"/>
          <a:ext cx="1619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742950</xdr:colOff>
      <xdr:row>22</xdr:row>
      <xdr:rowOff>152400</xdr:rowOff>
    </xdr:from>
    <xdr:to>
      <xdr:col>8</xdr:col>
      <xdr:colOff>307150</xdr:colOff>
      <xdr:row>24</xdr:row>
      <xdr:rowOff>184285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D09C87E3-BA06-4CDB-90B3-99E3508ED603}"/>
            </a:ext>
          </a:extLst>
        </xdr:cNvPr>
        <xdr:cNvCxnSpPr>
          <a:endCxn id="8" idx="2"/>
        </xdr:cNvCxnSpPr>
      </xdr:nvCxnSpPr>
      <xdr:spPr>
        <a:xfrm flipV="1">
          <a:off x="6581775" y="4371975"/>
          <a:ext cx="316675" cy="4128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15</xdr:row>
      <xdr:rowOff>123825</xdr:rowOff>
    </xdr:from>
    <xdr:to>
      <xdr:col>10</xdr:col>
      <xdr:colOff>250000</xdr:colOff>
      <xdr:row>22</xdr:row>
      <xdr:rowOff>108085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xmlns="" id="{5B53A7E1-78AD-4892-9C7A-B30E50C82842}"/>
            </a:ext>
          </a:extLst>
        </xdr:cNvPr>
        <xdr:cNvCxnSpPr>
          <a:endCxn id="9" idx="2"/>
        </xdr:cNvCxnSpPr>
      </xdr:nvCxnSpPr>
      <xdr:spPr>
        <a:xfrm flipV="1">
          <a:off x="6934200" y="3009900"/>
          <a:ext cx="1126300" cy="1317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6</xdr:row>
      <xdr:rowOff>133350</xdr:rowOff>
    </xdr:from>
    <xdr:to>
      <xdr:col>14</xdr:col>
      <xdr:colOff>402400</xdr:colOff>
      <xdr:row>15</xdr:row>
      <xdr:rowOff>41410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36A52352-1C8B-4FE8-A366-B6338EB003FC}"/>
            </a:ext>
          </a:extLst>
        </xdr:cNvPr>
        <xdr:cNvCxnSpPr>
          <a:stCxn id="9" idx="4"/>
        </xdr:cNvCxnSpPr>
      </xdr:nvCxnSpPr>
      <xdr:spPr>
        <a:xfrm flipV="1">
          <a:off x="8191500" y="1304925"/>
          <a:ext cx="2459800" cy="1622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104775</xdr:colOff>
      <xdr:row>7</xdr:row>
      <xdr:rowOff>38100</xdr:rowOff>
    </xdr:from>
    <xdr:to>
      <xdr:col>13</xdr:col>
      <xdr:colOff>228600</xdr:colOff>
      <xdr:row>8</xdr:row>
      <xdr:rowOff>152400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6540A825-6AC3-4F86-A70E-8907707E22D8}"/>
            </a:ext>
          </a:extLst>
        </xdr:cNvPr>
        <xdr:cNvCxnSpPr/>
      </xdr:nvCxnSpPr>
      <xdr:spPr>
        <a:xfrm>
          <a:off x="9134475" y="1400175"/>
          <a:ext cx="733425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609600</xdr:colOff>
      <xdr:row>6</xdr:row>
      <xdr:rowOff>9525</xdr:rowOff>
    </xdr:from>
    <xdr:to>
      <xdr:col>14</xdr:col>
      <xdr:colOff>561975</xdr:colOff>
      <xdr:row>25</xdr:row>
      <xdr:rowOff>76200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xmlns="" id="{F8503CD0-3202-460E-9BF4-7F74690DCB0C}"/>
            </a:ext>
          </a:extLst>
        </xdr:cNvPr>
        <xdr:cNvCxnSpPr/>
      </xdr:nvCxnSpPr>
      <xdr:spPr>
        <a:xfrm flipH="1">
          <a:off x="6448425" y="1181100"/>
          <a:ext cx="4362450" cy="36861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542925</xdr:colOff>
      <xdr:row>14</xdr:row>
      <xdr:rowOff>142875</xdr:rowOff>
    </xdr:from>
    <xdr:to>
      <xdr:col>12</xdr:col>
      <xdr:colOff>523875</xdr:colOff>
      <xdr:row>16</xdr:row>
      <xdr:rowOff>47625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1722A8C4-B68B-4C75-9BC0-08851D7DDBC8}"/>
            </a:ext>
          </a:extLst>
        </xdr:cNvPr>
        <xdr:cNvCxnSpPr/>
      </xdr:nvCxnSpPr>
      <xdr:spPr>
        <a:xfrm flipH="1" flipV="1">
          <a:off x="8963025" y="2838450"/>
          <a:ext cx="590550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238125</xdr:colOff>
      <xdr:row>9</xdr:row>
      <xdr:rowOff>152400</xdr:rowOff>
    </xdr:from>
    <xdr:to>
      <xdr:col>13</xdr:col>
      <xdr:colOff>304800</xdr:colOff>
      <xdr:row>10</xdr:row>
      <xdr:rowOff>47625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xmlns="" id="{DC194E39-D085-4463-A643-9A05043ADD64}"/>
            </a:ext>
          </a:extLst>
        </xdr:cNvPr>
        <xdr:cNvSpPr/>
      </xdr:nvSpPr>
      <xdr:spPr>
        <a:xfrm>
          <a:off x="9877425" y="1895475"/>
          <a:ext cx="66675" cy="857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285750</xdr:colOff>
      <xdr:row>10</xdr:row>
      <xdr:rowOff>66675</xdr:rowOff>
    </xdr:from>
    <xdr:to>
      <xdr:col>14</xdr:col>
      <xdr:colOff>495300</xdr:colOff>
      <xdr:row>11</xdr:row>
      <xdr:rowOff>133350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xmlns="" id="{2912B2C7-BB79-48E8-8706-6F1211CE3DF1}"/>
            </a:ext>
          </a:extLst>
        </xdr:cNvPr>
        <xdr:cNvSpPr/>
      </xdr:nvSpPr>
      <xdr:spPr>
        <a:xfrm rot="5400000">
          <a:off x="10206037" y="1719263"/>
          <a:ext cx="257175" cy="81915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323849</xdr:colOff>
      <xdr:row>19</xdr:row>
      <xdr:rowOff>85725</xdr:rowOff>
    </xdr:to>
    <xdr:sp macro="" textlink="">
      <xdr:nvSpPr>
        <xdr:cNvPr id="17" name="Rectangle 16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219074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30</xdr:row>
      <xdr:rowOff>47625</xdr:rowOff>
    </xdr:from>
    <xdr:to>
      <xdr:col>2</xdr:col>
      <xdr:colOff>533400</xdr:colOff>
      <xdr:row>30</xdr:row>
      <xdr:rowOff>57150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A3C3D30C-071D-41BA-8A54-ECE2D8018A04}"/>
            </a:ext>
          </a:extLst>
        </xdr:cNvPr>
        <xdr:cNvCxnSpPr/>
      </xdr:nvCxnSpPr>
      <xdr:spPr>
        <a:xfrm flipH="1" flipV="1">
          <a:off x="2495550" y="5781675"/>
          <a:ext cx="7810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133349</xdr:colOff>
      <xdr:row>18</xdr:row>
      <xdr:rowOff>95250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447674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19</xdr:row>
      <xdr:rowOff>114300</xdr:rowOff>
    </xdr:from>
    <xdr:to>
      <xdr:col>14</xdr:col>
      <xdr:colOff>542925</xdr:colOff>
      <xdr:row>30</xdr:row>
      <xdr:rowOff>161925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xmlns="" id="{CBD6F367-37D1-4AA1-CC77-DB49D3D47318}"/>
            </a:ext>
          </a:extLst>
        </xdr:cNvPr>
        <xdr:cNvSpPr/>
      </xdr:nvSpPr>
      <xdr:spPr>
        <a:xfrm>
          <a:off x="5962650" y="3743325"/>
          <a:ext cx="3533775" cy="2152650"/>
        </a:xfrm>
        <a:custGeom>
          <a:avLst/>
          <a:gdLst>
            <a:gd name="connsiteX0" fmla="*/ 29086 w 3810511"/>
            <a:gd name="connsiteY0" fmla="*/ 2276475 h 2372295"/>
            <a:gd name="connsiteX1" fmla="*/ 38611 w 3810511"/>
            <a:gd name="connsiteY1" fmla="*/ 1000125 h 2372295"/>
            <a:gd name="connsiteX2" fmla="*/ 38611 w 3810511"/>
            <a:gd name="connsiteY2" fmla="*/ 600075 h 2372295"/>
            <a:gd name="connsiteX3" fmla="*/ 29086 w 3810511"/>
            <a:gd name="connsiteY3" fmla="*/ 47625 h 2372295"/>
            <a:gd name="connsiteX4" fmla="*/ 38611 w 3810511"/>
            <a:gd name="connsiteY4" fmla="*/ 0 h 2372295"/>
            <a:gd name="connsiteX5" fmla="*/ 57661 w 3810511"/>
            <a:gd name="connsiteY5" fmla="*/ 28575 h 2372295"/>
            <a:gd name="connsiteX6" fmla="*/ 105286 w 3810511"/>
            <a:gd name="connsiteY6" fmla="*/ 38100 h 2372295"/>
            <a:gd name="connsiteX7" fmla="*/ 191011 w 3810511"/>
            <a:gd name="connsiteY7" fmla="*/ 76200 h 2372295"/>
            <a:gd name="connsiteX8" fmla="*/ 238636 w 3810511"/>
            <a:gd name="connsiteY8" fmla="*/ 114300 h 2372295"/>
            <a:gd name="connsiteX9" fmla="*/ 286261 w 3810511"/>
            <a:gd name="connsiteY9" fmla="*/ 142875 h 2372295"/>
            <a:gd name="connsiteX10" fmla="*/ 324361 w 3810511"/>
            <a:gd name="connsiteY10" fmla="*/ 152400 h 2372295"/>
            <a:gd name="connsiteX11" fmla="*/ 448186 w 3810511"/>
            <a:gd name="connsiteY11" fmla="*/ 180975 h 2372295"/>
            <a:gd name="connsiteX12" fmla="*/ 562486 w 3810511"/>
            <a:gd name="connsiteY12" fmla="*/ 228600 h 2372295"/>
            <a:gd name="connsiteX13" fmla="*/ 600586 w 3810511"/>
            <a:gd name="connsiteY13" fmla="*/ 247650 h 2372295"/>
            <a:gd name="connsiteX14" fmla="*/ 648211 w 3810511"/>
            <a:gd name="connsiteY14" fmla="*/ 266700 h 2372295"/>
            <a:gd name="connsiteX15" fmla="*/ 695836 w 3810511"/>
            <a:gd name="connsiteY15" fmla="*/ 295275 h 2372295"/>
            <a:gd name="connsiteX16" fmla="*/ 762511 w 3810511"/>
            <a:gd name="connsiteY16" fmla="*/ 323850 h 2372295"/>
            <a:gd name="connsiteX17" fmla="*/ 810136 w 3810511"/>
            <a:gd name="connsiteY17" fmla="*/ 352425 h 2372295"/>
            <a:gd name="connsiteX18" fmla="*/ 914911 w 3810511"/>
            <a:gd name="connsiteY18" fmla="*/ 400050 h 2372295"/>
            <a:gd name="connsiteX19" fmla="*/ 1019686 w 3810511"/>
            <a:gd name="connsiteY19" fmla="*/ 438150 h 2372295"/>
            <a:gd name="connsiteX20" fmla="*/ 1114936 w 3810511"/>
            <a:gd name="connsiteY20" fmla="*/ 485775 h 2372295"/>
            <a:gd name="connsiteX21" fmla="*/ 1172086 w 3810511"/>
            <a:gd name="connsiteY21" fmla="*/ 504825 h 2372295"/>
            <a:gd name="connsiteX22" fmla="*/ 1200661 w 3810511"/>
            <a:gd name="connsiteY22" fmla="*/ 523875 h 2372295"/>
            <a:gd name="connsiteX23" fmla="*/ 1353061 w 3810511"/>
            <a:gd name="connsiteY23" fmla="*/ 571500 h 2372295"/>
            <a:gd name="connsiteX24" fmla="*/ 1400686 w 3810511"/>
            <a:gd name="connsiteY24" fmla="*/ 600075 h 2372295"/>
            <a:gd name="connsiteX25" fmla="*/ 1476886 w 3810511"/>
            <a:gd name="connsiteY25" fmla="*/ 657225 h 2372295"/>
            <a:gd name="connsiteX26" fmla="*/ 1543561 w 3810511"/>
            <a:gd name="connsiteY26" fmla="*/ 676275 h 2372295"/>
            <a:gd name="connsiteX27" fmla="*/ 1610236 w 3810511"/>
            <a:gd name="connsiteY27" fmla="*/ 704850 h 2372295"/>
            <a:gd name="connsiteX28" fmla="*/ 1743586 w 3810511"/>
            <a:gd name="connsiteY28" fmla="*/ 733425 h 2372295"/>
            <a:gd name="connsiteX29" fmla="*/ 1895986 w 3810511"/>
            <a:gd name="connsiteY29" fmla="*/ 771525 h 2372295"/>
            <a:gd name="connsiteX30" fmla="*/ 1943611 w 3810511"/>
            <a:gd name="connsiteY30" fmla="*/ 819150 h 2372295"/>
            <a:gd name="connsiteX31" fmla="*/ 1972186 w 3810511"/>
            <a:gd name="connsiteY31" fmla="*/ 838200 h 2372295"/>
            <a:gd name="connsiteX32" fmla="*/ 2029336 w 3810511"/>
            <a:gd name="connsiteY32" fmla="*/ 895350 h 2372295"/>
            <a:gd name="connsiteX33" fmla="*/ 2086486 w 3810511"/>
            <a:gd name="connsiteY33" fmla="*/ 923925 h 2372295"/>
            <a:gd name="connsiteX34" fmla="*/ 2134111 w 3810511"/>
            <a:gd name="connsiteY34" fmla="*/ 971550 h 2372295"/>
            <a:gd name="connsiteX35" fmla="*/ 2162686 w 3810511"/>
            <a:gd name="connsiteY35" fmla="*/ 990600 h 2372295"/>
            <a:gd name="connsiteX36" fmla="*/ 2219836 w 3810511"/>
            <a:gd name="connsiteY36" fmla="*/ 1057275 h 2372295"/>
            <a:gd name="connsiteX37" fmla="*/ 2267461 w 3810511"/>
            <a:gd name="connsiteY37" fmla="*/ 1085850 h 2372295"/>
            <a:gd name="connsiteX38" fmla="*/ 2315086 w 3810511"/>
            <a:gd name="connsiteY38" fmla="*/ 1123950 h 2372295"/>
            <a:gd name="connsiteX39" fmla="*/ 2353186 w 3810511"/>
            <a:gd name="connsiteY39" fmla="*/ 1162050 h 2372295"/>
            <a:gd name="connsiteX40" fmla="*/ 2400811 w 3810511"/>
            <a:gd name="connsiteY40" fmla="*/ 1181100 h 2372295"/>
            <a:gd name="connsiteX41" fmla="*/ 2457961 w 3810511"/>
            <a:gd name="connsiteY41" fmla="*/ 1228725 h 2372295"/>
            <a:gd name="connsiteX42" fmla="*/ 2486536 w 3810511"/>
            <a:gd name="connsiteY42" fmla="*/ 1247775 h 2372295"/>
            <a:gd name="connsiteX43" fmla="*/ 2591311 w 3810511"/>
            <a:gd name="connsiteY43" fmla="*/ 1333500 h 2372295"/>
            <a:gd name="connsiteX44" fmla="*/ 2591311 w 3810511"/>
            <a:gd name="connsiteY44" fmla="*/ 1333500 h 2372295"/>
            <a:gd name="connsiteX45" fmla="*/ 2696086 w 3810511"/>
            <a:gd name="connsiteY45" fmla="*/ 1428750 h 2372295"/>
            <a:gd name="connsiteX46" fmla="*/ 2819911 w 3810511"/>
            <a:gd name="connsiteY46" fmla="*/ 1476375 h 2372295"/>
            <a:gd name="connsiteX47" fmla="*/ 2838961 w 3810511"/>
            <a:gd name="connsiteY47" fmla="*/ 1504950 h 2372295"/>
            <a:gd name="connsiteX48" fmla="*/ 2877061 w 3810511"/>
            <a:gd name="connsiteY48" fmla="*/ 1524000 h 2372295"/>
            <a:gd name="connsiteX49" fmla="*/ 2905636 w 3810511"/>
            <a:gd name="connsiteY49" fmla="*/ 1552575 h 2372295"/>
            <a:gd name="connsiteX50" fmla="*/ 2915161 w 3810511"/>
            <a:gd name="connsiteY50" fmla="*/ 1581150 h 2372295"/>
            <a:gd name="connsiteX51" fmla="*/ 3000886 w 3810511"/>
            <a:gd name="connsiteY51" fmla="*/ 1647825 h 2372295"/>
            <a:gd name="connsiteX52" fmla="*/ 3058036 w 3810511"/>
            <a:gd name="connsiteY52" fmla="*/ 1695450 h 2372295"/>
            <a:gd name="connsiteX53" fmla="*/ 3086611 w 3810511"/>
            <a:gd name="connsiteY53" fmla="*/ 1724025 h 2372295"/>
            <a:gd name="connsiteX54" fmla="*/ 3210436 w 3810511"/>
            <a:gd name="connsiteY54" fmla="*/ 1809750 h 2372295"/>
            <a:gd name="connsiteX55" fmla="*/ 3239011 w 3810511"/>
            <a:gd name="connsiteY55" fmla="*/ 1838325 h 2372295"/>
            <a:gd name="connsiteX56" fmla="*/ 3324736 w 3810511"/>
            <a:gd name="connsiteY56" fmla="*/ 1895475 h 2372295"/>
            <a:gd name="connsiteX57" fmla="*/ 3381886 w 3810511"/>
            <a:gd name="connsiteY57" fmla="*/ 1943100 h 2372295"/>
            <a:gd name="connsiteX58" fmla="*/ 3400936 w 3810511"/>
            <a:gd name="connsiteY58" fmla="*/ 1971675 h 2372295"/>
            <a:gd name="connsiteX59" fmla="*/ 3439036 w 3810511"/>
            <a:gd name="connsiteY59" fmla="*/ 1981200 h 2372295"/>
            <a:gd name="connsiteX60" fmla="*/ 3505711 w 3810511"/>
            <a:gd name="connsiteY60" fmla="*/ 2009775 h 2372295"/>
            <a:gd name="connsiteX61" fmla="*/ 3534286 w 3810511"/>
            <a:gd name="connsiteY61" fmla="*/ 2038350 h 2372295"/>
            <a:gd name="connsiteX62" fmla="*/ 3572386 w 3810511"/>
            <a:gd name="connsiteY62" fmla="*/ 2066925 h 2372295"/>
            <a:gd name="connsiteX63" fmla="*/ 3610486 w 3810511"/>
            <a:gd name="connsiteY63" fmla="*/ 2143125 h 2372295"/>
            <a:gd name="connsiteX64" fmla="*/ 3648586 w 3810511"/>
            <a:gd name="connsiteY64" fmla="*/ 2152650 h 2372295"/>
            <a:gd name="connsiteX65" fmla="*/ 3705736 w 3810511"/>
            <a:gd name="connsiteY65" fmla="*/ 2190750 h 2372295"/>
            <a:gd name="connsiteX66" fmla="*/ 3810511 w 3810511"/>
            <a:gd name="connsiteY66" fmla="*/ 2247900 h 2372295"/>
            <a:gd name="connsiteX67" fmla="*/ 3800986 w 3810511"/>
            <a:gd name="connsiteY67" fmla="*/ 2286000 h 2372295"/>
            <a:gd name="connsiteX68" fmla="*/ 3753361 w 3810511"/>
            <a:gd name="connsiteY68" fmla="*/ 2305050 h 2372295"/>
            <a:gd name="connsiteX69" fmla="*/ 3505711 w 3810511"/>
            <a:gd name="connsiteY69" fmla="*/ 2295525 h 2372295"/>
            <a:gd name="connsiteX70" fmla="*/ 3410461 w 3810511"/>
            <a:gd name="connsiteY70" fmla="*/ 2276475 h 2372295"/>
            <a:gd name="connsiteX71" fmla="*/ 2734186 w 3810511"/>
            <a:gd name="connsiteY71" fmla="*/ 2266950 h 2372295"/>
            <a:gd name="connsiteX72" fmla="*/ 2257936 w 3810511"/>
            <a:gd name="connsiteY72" fmla="*/ 2257425 h 2372295"/>
            <a:gd name="connsiteX73" fmla="*/ 1353061 w 3810511"/>
            <a:gd name="connsiteY73" fmla="*/ 2257425 h 2372295"/>
            <a:gd name="connsiteX74" fmla="*/ 1295911 w 3810511"/>
            <a:gd name="connsiteY74" fmla="*/ 2247900 h 2372295"/>
            <a:gd name="connsiteX75" fmla="*/ 876811 w 3810511"/>
            <a:gd name="connsiteY75" fmla="*/ 2238375 h 2372295"/>
            <a:gd name="connsiteX76" fmla="*/ 705361 w 3810511"/>
            <a:gd name="connsiteY76" fmla="*/ 2219325 h 2372295"/>
            <a:gd name="connsiteX77" fmla="*/ 610111 w 3810511"/>
            <a:gd name="connsiteY77" fmla="*/ 2228850 h 2372295"/>
            <a:gd name="connsiteX78" fmla="*/ 495811 w 3810511"/>
            <a:gd name="connsiteY78" fmla="*/ 2257425 h 2372295"/>
            <a:gd name="connsiteX79" fmla="*/ 448186 w 3810511"/>
            <a:gd name="connsiteY79" fmla="*/ 2276475 h 2372295"/>
            <a:gd name="connsiteX80" fmla="*/ 29086 w 3810511"/>
            <a:gd name="connsiteY80" fmla="*/ 2276475 h 23722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</a:cxnLst>
          <a:rect l="l" t="t" r="r" b="b"/>
          <a:pathLst>
            <a:path w="3810511" h="2372295">
              <a:moveTo>
                <a:pt x="29086" y="2276475"/>
              </a:moveTo>
              <a:cubicBezTo>
                <a:pt x="-39176" y="2063750"/>
                <a:pt x="33423" y="1425555"/>
                <a:pt x="38611" y="1000125"/>
              </a:cubicBezTo>
              <a:cubicBezTo>
                <a:pt x="43436" y="604479"/>
                <a:pt x="58447" y="838106"/>
                <a:pt x="38611" y="600075"/>
              </a:cubicBezTo>
              <a:cubicBezTo>
                <a:pt x="35436" y="415925"/>
                <a:pt x="38133" y="231580"/>
                <a:pt x="29086" y="47625"/>
              </a:cubicBezTo>
              <a:cubicBezTo>
                <a:pt x="26465" y="-5661"/>
                <a:pt x="-22268" y="40586"/>
                <a:pt x="38611" y="0"/>
              </a:cubicBezTo>
              <a:cubicBezTo>
                <a:pt x="44961" y="9525"/>
                <a:pt x="47722" y="22895"/>
                <a:pt x="57661" y="28575"/>
              </a:cubicBezTo>
              <a:cubicBezTo>
                <a:pt x="71717" y="36607"/>
                <a:pt x="89667" y="33840"/>
                <a:pt x="105286" y="38100"/>
              </a:cubicBezTo>
              <a:cubicBezTo>
                <a:pt x="162833" y="53795"/>
                <a:pt x="151693" y="49988"/>
                <a:pt x="191011" y="76200"/>
              </a:cubicBezTo>
              <a:cubicBezTo>
                <a:pt x="223124" y="124370"/>
                <a:pt x="192628" y="91296"/>
                <a:pt x="238636" y="114300"/>
              </a:cubicBezTo>
              <a:cubicBezTo>
                <a:pt x="255195" y="122579"/>
                <a:pt x="269343" y="135356"/>
                <a:pt x="286261" y="142875"/>
              </a:cubicBezTo>
              <a:cubicBezTo>
                <a:pt x="298224" y="148192"/>
                <a:pt x="311942" y="148260"/>
                <a:pt x="324361" y="152400"/>
              </a:cubicBezTo>
              <a:cubicBezTo>
                <a:pt x="418598" y="183812"/>
                <a:pt x="320818" y="165054"/>
                <a:pt x="448186" y="180975"/>
              </a:cubicBezTo>
              <a:cubicBezTo>
                <a:pt x="533971" y="223868"/>
                <a:pt x="428244" y="172666"/>
                <a:pt x="562486" y="228600"/>
              </a:cubicBezTo>
              <a:cubicBezTo>
                <a:pt x="575593" y="234061"/>
                <a:pt x="587611" y="241883"/>
                <a:pt x="600586" y="247650"/>
              </a:cubicBezTo>
              <a:cubicBezTo>
                <a:pt x="616210" y="254594"/>
                <a:pt x="632918" y="259054"/>
                <a:pt x="648211" y="266700"/>
              </a:cubicBezTo>
              <a:cubicBezTo>
                <a:pt x="664770" y="274979"/>
                <a:pt x="679277" y="286996"/>
                <a:pt x="695836" y="295275"/>
              </a:cubicBezTo>
              <a:cubicBezTo>
                <a:pt x="717463" y="306089"/>
                <a:pt x="740884" y="313036"/>
                <a:pt x="762511" y="323850"/>
              </a:cubicBezTo>
              <a:cubicBezTo>
                <a:pt x="779070" y="332129"/>
                <a:pt x="793952" y="343434"/>
                <a:pt x="810136" y="352425"/>
              </a:cubicBezTo>
              <a:cubicBezTo>
                <a:pt x="850986" y="375120"/>
                <a:pt x="867332" y="378090"/>
                <a:pt x="914911" y="400050"/>
              </a:cubicBezTo>
              <a:cubicBezTo>
                <a:pt x="997075" y="437972"/>
                <a:pt x="943169" y="422847"/>
                <a:pt x="1019686" y="438150"/>
              </a:cubicBezTo>
              <a:cubicBezTo>
                <a:pt x="1062684" y="466816"/>
                <a:pt x="1049770" y="460711"/>
                <a:pt x="1114936" y="485775"/>
              </a:cubicBezTo>
              <a:cubicBezTo>
                <a:pt x="1133678" y="492983"/>
                <a:pt x="1153736" y="496670"/>
                <a:pt x="1172086" y="504825"/>
              </a:cubicBezTo>
              <a:cubicBezTo>
                <a:pt x="1182547" y="509474"/>
                <a:pt x="1190139" y="519366"/>
                <a:pt x="1200661" y="523875"/>
              </a:cubicBezTo>
              <a:cubicBezTo>
                <a:pt x="1293743" y="563767"/>
                <a:pt x="1177195" y="465980"/>
                <a:pt x="1353061" y="571500"/>
              </a:cubicBezTo>
              <a:cubicBezTo>
                <a:pt x="1368936" y="581025"/>
                <a:pt x="1385519" y="589458"/>
                <a:pt x="1400686" y="600075"/>
              </a:cubicBezTo>
              <a:cubicBezTo>
                <a:pt x="1404294" y="602601"/>
                <a:pt x="1461215" y="650956"/>
                <a:pt x="1476886" y="657225"/>
              </a:cubicBezTo>
              <a:cubicBezTo>
                <a:pt x="1498347" y="665809"/>
                <a:pt x="1521793" y="668501"/>
                <a:pt x="1543561" y="676275"/>
              </a:cubicBezTo>
              <a:cubicBezTo>
                <a:pt x="1566332" y="684408"/>
                <a:pt x="1586986" y="698207"/>
                <a:pt x="1610236" y="704850"/>
              </a:cubicBezTo>
              <a:cubicBezTo>
                <a:pt x="1653946" y="717339"/>
                <a:pt x="1699291" y="723203"/>
                <a:pt x="1743586" y="733425"/>
              </a:cubicBezTo>
              <a:cubicBezTo>
                <a:pt x="1877194" y="764258"/>
                <a:pt x="1827225" y="748605"/>
                <a:pt x="1895986" y="771525"/>
              </a:cubicBezTo>
              <a:cubicBezTo>
                <a:pt x="1911861" y="787400"/>
                <a:pt x="1926715" y="804366"/>
                <a:pt x="1943611" y="819150"/>
              </a:cubicBezTo>
              <a:cubicBezTo>
                <a:pt x="1952226" y="826688"/>
                <a:pt x="1964091" y="830105"/>
                <a:pt x="1972186" y="838200"/>
              </a:cubicBezTo>
              <a:cubicBezTo>
                <a:pt x="2022082" y="888096"/>
                <a:pt x="1951513" y="848656"/>
                <a:pt x="2029336" y="895350"/>
              </a:cubicBezTo>
              <a:cubicBezTo>
                <a:pt x="2047599" y="906308"/>
                <a:pt x="2069261" y="911398"/>
                <a:pt x="2086486" y="923925"/>
              </a:cubicBezTo>
              <a:cubicBezTo>
                <a:pt x="2104643" y="937130"/>
                <a:pt x="2117215" y="956766"/>
                <a:pt x="2134111" y="971550"/>
              </a:cubicBezTo>
              <a:cubicBezTo>
                <a:pt x="2142726" y="979088"/>
                <a:pt x="2153161" y="984250"/>
                <a:pt x="2162686" y="990600"/>
              </a:cubicBezTo>
              <a:cubicBezTo>
                <a:pt x="2182639" y="1020530"/>
                <a:pt x="2187855" y="1032401"/>
                <a:pt x="2219836" y="1057275"/>
              </a:cubicBezTo>
              <a:cubicBezTo>
                <a:pt x="2234449" y="1068641"/>
                <a:pt x="2252294" y="1075233"/>
                <a:pt x="2267461" y="1085850"/>
              </a:cubicBezTo>
              <a:cubicBezTo>
                <a:pt x="2284116" y="1097508"/>
                <a:pt x="2299891" y="1110444"/>
                <a:pt x="2315086" y="1123950"/>
              </a:cubicBezTo>
              <a:cubicBezTo>
                <a:pt x="2328510" y="1135882"/>
                <a:pt x="2338242" y="1152087"/>
                <a:pt x="2353186" y="1162050"/>
              </a:cubicBezTo>
              <a:cubicBezTo>
                <a:pt x="2367412" y="1171534"/>
                <a:pt x="2385518" y="1173454"/>
                <a:pt x="2400811" y="1181100"/>
              </a:cubicBezTo>
              <a:cubicBezTo>
                <a:pt x="2436284" y="1198837"/>
                <a:pt x="2426363" y="1202393"/>
                <a:pt x="2457961" y="1228725"/>
              </a:cubicBezTo>
              <a:cubicBezTo>
                <a:pt x="2466755" y="1236054"/>
                <a:pt x="2477535" y="1240702"/>
                <a:pt x="2486536" y="1247775"/>
              </a:cubicBezTo>
              <a:cubicBezTo>
                <a:pt x="2522019" y="1275654"/>
                <a:pt x="2556386" y="1304925"/>
                <a:pt x="2591311" y="1333500"/>
              </a:cubicBezTo>
              <a:lnTo>
                <a:pt x="2591311" y="1333500"/>
              </a:lnTo>
              <a:cubicBezTo>
                <a:pt x="2603124" y="1345313"/>
                <a:pt x="2666220" y="1414696"/>
                <a:pt x="2696086" y="1428750"/>
              </a:cubicBezTo>
              <a:cubicBezTo>
                <a:pt x="2736099" y="1447580"/>
                <a:pt x="2819911" y="1476375"/>
                <a:pt x="2819911" y="1476375"/>
              </a:cubicBezTo>
              <a:cubicBezTo>
                <a:pt x="2826261" y="1485900"/>
                <a:pt x="2830167" y="1497621"/>
                <a:pt x="2838961" y="1504950"/>
              </a:cubicBezTo>
              <a:cubicBezTo>
                <a:pt x="2849869" y="1514040"/>
                <a:pt x="2865507" y="1515747"/>
                <a:pt x="2877061" y="1524000"/>
              </a:cubicBezTo>
              <a:cubicBezTo>
                <a:pt x="2888022" y="1531830"/>
                <a:pt x="2896111" y="1543050"/>
                <a:pt x="2905636" y="1552575"/>
              </a:cubicBezTo>
              <a:cubicBezTo>
                <a:pt x="2908811" y="1562100"/>
                <a:pt x="2909137" y="1573118"/>
                <a:pt x="2915161" y="1581150"/>
              </a:cubicBezTo>
              <a:cubicBezTo>
                <a:pt x="2949760" y="1627282"/>
                <a:pt x="2957294" y="1626029"/>
                <a:pt x="3000886" y="1647825"/>
              </a:cubicBezTo>
              <a:cubicBezTo>
                <a:pt x="3069982" y="1739953"/>
                <a:pt x="2992583" y="1651815"/>
                <a:pt x="3058036" y="1695450"/>
              </a:cubicBezTo>
              <a:cubicBezTo>
                <a:pt x="3069244" y="1702922"/>
                <a:pt x="3075835" y="1715943"/>
                <a:pt x="3086611" y="1724025"/>
              </a:cubicBezTo>
              <a:cubicBezTo>
                <a:pt x="3126772" y="1754146"/>
                <a:pt x="3174938" y="1774252"/>
                <a:pt x="3210436" y="1809750"/>
              </a:cubicBezTo>
              <a:cubicBezTo>
                <a:pt x="3219961" y="1819275"/>
                <a:pt x="3228235" y="1830243"/>
                <a:pt x="3239011" y="1838325"/>
              </a:cubicBezTo>
              <a:cubicBezTo>
                <a:pt x="3275287" y="1865532"/>
                <a:pt x="3293229" y="1863968"/>
                <a:pt x="3324736" y="1895475"/>
              </a:cubicBezTo>
              <a:cubicBezTo>
                <a:pt x="3378588" y="1949327"/>
                <a:pt x="3300149" y="1902232"/>
                <a:pt x="3381886" y="1943100"/>
              </a:cubicBezTo>
              <a:cubicBezTo>
                <a:pt x="3388236" y="1952625"/>
                <a:pt x="3391411" y="1965325"/>
                <a:pt x="3400936" y="1971675"/>
              </a:cubicBezTo>
              <a:cubicBezTo>
                <a:pt x="3411828" y="1978937"/>
                <a:pt x="3426733" y="1976726"/>
                <a:pt x="3439036" y="1981200"/>
              </a:cubicBezTo>
              <a:cubicBezTo>
                <a:pt x="3461760" y="1989463"/>
                <a:pt x="3483486" y="2000250"/>
                <a:pt x="3505711" y="2009775"/>
              </a:cubicBezTo>
              <a:cubicBezTo>
                <a:pt x="3515236" y="2019300"/>
                <a:pt x="3524059" y="2029584"/>
                <a:pt x="3534286" y="2038350"/>
              </a:cubicBezTo>
              <a:cubicBezTo>
                <a:pt x="3546339" y="2048681"/>
                <a:pt x="3562861" y="2054225"/>
                <a:pt x="3572386" y="2066925"/>
              </a:cubicBezTo>
              <a:cubicBezTo>
                <a:pt x="3583193" y="2081334"/>
                <a:pt x="3590317" y="2129679"/>
                <a:pt x="3610486" y="2143125"/>
              </a:cubicBezTo>
              <a:cubicBezTo>
                <a:pt x="3621378" y="2150387"/>
                <a:pt x="3635886" y="2149475"/>
                <a:pt x="3648586" y="2152650"/>
              </a:cubicBezTo>
              <a:cubicBezTo>
                <a:pt x="3710152" y="2214216"/>
                <a:pt x="3645083" y="2157667"/>
                <a:pt x="3705736" y="2190750"/>
              </a:cubicBezTo>
              <a:cubicBezTo>
                <a:pt x="3822218" y="2254286"/>
                <a:pt x="3742872" y="2225354"/>
                <a:pt x="3810511" y="2247900"/>
              </a:cubicBezTo>
              <a:cubicBezTo>
                <a:pt x="3807336" y="2260600"/>
                <a:pt x="3810243" y="2276743"/>
                <a:pt x="3800986" y="2286000"/>
              </a:cubicBezTo>
              <a:cubicBezTo>
                <a:pt x="3788896" y="2298090"/>
                <a:pt x="3770450" y="2304499"/>
                <a:pt x="3753361" y="2305050"/>
              </a:cubicBezTo>
              <a:lnTo>
                <a:pt x="3505711" y="2295525"/>
              </a:lnTo>
              <a:cubicBezTo>
                <a:pt x="3468890" y="2283251"/>
                <a:pt x="3457889" y="2277691"/>
                <a:pt x="3410461" y="2276475"/>
              </a:cubicBezTo>
              <a:cubicBezTo>
                <a:pt x="3185088" y="2270696"/>
                <a:pt x="2959611" y="2270125"/>
                <a:pt x="2734186" y="2266950"/>
              </a:cubicBezTo>
              <a:cubicBezTo>
                <a:pt x="2544471" y="2203712"/>
                <a:pt x="2697111" y="2247444"/>
                <a:pt x="2257936" y="2257425"/>
              </a:cubicBezTo>
              <a:cubicBezTo>
                <a:pt x="1940939" y="2336674"/>
                <a:pt x="2201617" y="2274921"/>
                <a:pt x="1353061" y="2257425"/>
              </a:cubicBezTo>
              <a:cubicBezTo>
                <a:pt x="1333752" y="2257027"/>
                <a:pt x="1315208" y="2248672"/>
                <a:pt x="1295911" y="2247900"/>
              </a:cubicBezTo>
              <a:cubicBezTo>
                <a:pt x="1156287" y="2242315"/>
                <a:pt x="1016511" y="2241550"/>
                <a:pt x="876811" y="2238375"/>
              </a:cubicBezTo>
              <a:cubicBezTo>
                <a:pt x="815679" y="2228186"/>
                <a:pt x="772134" y="2219325"/>
                <a:pt x="705361" y="2219325"/>
              </a:cubicBezTo>
              <a:cubicBezTo>
                <a:pt x="673453" y="2219325"/>
                <a:pt x="641861" y="2225675"/>
                <a:pt x="610111" y="2228850"/>
              </a:cubicBezTo>
              <a:cubicBezTo>
                <a:pt x="572011" y="2238375"/>
                <a:pt x="532275" y="2242840"/>
                <a:pt x="495811" y="2257425"/>
              </a:cubicBezTo>
              <a:cubicBezTo>
                <a:pt x="479936" y="2263775"/>
                <a:pt x="465269" y="2275763"/>
                <a:pt x="448186" y="2276475"/>
              </a:cubicBezTo>
              <a:cubicBezTo>
                <a:pt x="311779" y="2282159"/>
                <a:pt x="97348" y="2489200"/>
                <a:pt x="29086" y="2276475"/>
              </a:cubicBez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0</xdr:colOff>
      <xdr:row>13</xdr:row>
      <xdr:rowOff>76200</xdr:rowOff>
    </xdr:from>
    <xdr:to>
      <xdr:col>9</xdr:col>
      <xdr:colOff>9525</xdr:colOff>
      <xdr:row>30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41FB7C6-6935-A0ED-C0DF-D15CAA390105}"/>
            </a:ext>
          </a:extLst>
        </xdr:cNvPr>
        <xdr:cNvCxnSpPr/>
      </xdr:nvCxnSpPr>
      <xdr:spPr>
        <a:xfrm flipH="1" flipV="1">
          <a:off x="5905500" y="2552700"/>
          <a:ext cx="9525" cy="33623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30</xdr:row>
      <xdr:rowOff>171450</xdr:rowOff>
    </xdr:from>
    <xdr:to>
      <xdr:col>19</xdr:col>
      <xdr:colOff>171450</xdr:colOff>
      <xdr:row>31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57B946F6-9650-4F24-B1DA-0879FD5A201D}"/>
            </a:ext>
          </a:extLst>
        </xdr:cNvPr>
        <xdr:cNvCxnSpPr/>
      </xdr:nvCxnSpPr>
      <xdr:spPr>
        <a:xfrm>
          <a:off x="5915025" y="5905500"/>
          <a:ext cx="6257925" cy="19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18</xdr:row>
      <xdr:rowOff>0</xdr:rowOff>
    </xdr:from>
    <xdr:to>
      <xdr:col>18</xdr:col>
      <xdr:colOff>495300</xdr:colOff>
      <xdr:row>32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xmlns="" id="{943CFEE2-5742-9A5F-A5E8-E65FF425E99C}"/>
            </a:ext>
          </a:extLst>
        </xdr:cNvPr>
        <xdr:cNvCxnSpPr/>
      </xdr:nvCxnSpPr>
      <xdr:spPr>
        <a:xfrm>
          <a:off x="5438775" y="3429000"/>
          <a:ext cx="6448425" cy="26955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292099</xdr:colOff>
      <xdr:row>20</xdr:row>
      <xdr:rowOff>17523</xdr:rowOff>
    </xdr:from>
    <xdr:to>
      <xdr:col>9</xdr:col>
      <xdr:colOff>450851</xdr:colOff>
      <xdr:row>21</xdr:row>
      <xdr:rowOff>39629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xmlns="" id="{16808584-FCFB-04F8-7EFA-D3B692CB85A8}"/>
            </a:ext>
          </a:extLst>
        </xdr:cNvPr>
        <xdr:cNvSpPr/>
      </xdr:nvSpPr>
      <xdr:spPr>
        <a:xfrm rot="1932844">
          <a:off x="6197599" y="3846573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454023</xdr:colOff>
      <xdr:row>28</xdr:row>
      <xdr:rowOff>84198</xdr:rowOff>
    </xdr:from>
    <xdr:to>
      <xdr:col>16</xdr:col>
      <xdr:colOff>3175</xdr:colOff>
      <xdr:row>29</xdr:row>
      <xdr:rowOff>106304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D6936374-09CD-4787-B76D-2646CEFE8D2F}"/>
            </a:ext>
          </a:extLst>
        </xdr:cNvPr>
        <xdr:cNvSpPr/>
      </xdr:nvSpPr>
      <xdr:spPr>
        <a:xfrm rot="1932844">
          <a:off x="10017123" y="5437248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180975</xdr:colOff>
      <xdr:row>13</xdr:row>
      <xdr:rowOff>142875</xdr:rowOff>
    </xdr:from>
    <xdr:to>
      <xdr:col>15</xdr:col>
      <xdr:colOff>533400</xdr:colOff>
      <xdr:row>32</xdr:row>
      <xdr:rowOff>85725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xmlns="" id="{709777C8-56DE-4560-AE2D-C3508660C9BC}"/>
            </a:ext>
          </a:extLst>
        </xdr:cNvPr>
        <xdr:cNvCxnSpPr/>
      </xdr:nvCxnSpPr>
      <xdr:spPr>
        <a:xfrm>
          <a:off x="5476875" y="2619375"/>
          <a:ext cx="4619625" cy="3581400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206374</xdr:colOff>
      <xdr:row>16</xdr:row>
      <xdr:rowOff>188973</xdr:rowOff>
    </xdr:from>
    <xdr:to>
      <xdr:col>9</xdr:col>
      <xdr:colOff>365126</xdr:colOff>
      <xdr:row>18</xdr:row>
      <xdr:rowOff>20579</xdr:rowOff>
    </xdr:to>
    <xdr:sp macro="" textlink="">
      <xdr:nvSpPr>
        <xdr:cNvPr id="22" name="Arrow: Down 21">
          <a:extLst>
            <a:ext uri="{FF2B5EF4-FFF2-40B4-BE49-F238E27FC236}">
              <a16:creationId xmlns:a16="http://schemas.microsoft.com/office/drawing/2014/main" xmlns="" id="{2BAAAFFE-4F67-4C1D-9882-2E9607F78029}"/>
            </a:ext>
          </a:extLst>
        </xdr:cNvPr>
        <xdr:cNvSpPr/>
      </xdr:nvSpPr>
      <xdr:spPr>
        <a:xfrm rot="1932844">
          <a:off x="6111874" y="3236973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415924</xdr:colOff>
      <xdr:row>27</xdr:row>
      <xdr:rowOff>112775</xdr:rowOff>
    </xdr:from>
    <xdr:to>
      <xdr:col>13</xdr:col>
      <xdr:colOff>574676</xdr:colOff>
      <xdr:row>28</xdr:row>
      <xdr:rowOff>134881</xdr:rowOff>
    </xdr:to>
    <xdr:sp macro="" textlink="">
      <xdr:nvSpPr>
        <xdr:cNvPr id="23" name="Arrow: Down 22">
          <a:extLst>
            <a:ext uri="{FF2B5EF4-FFF2-40B4-BE49-F238E27FC236}">
              <a16:creationId xmlns:a16="http://schemas.microsoft.com/office/drawing/2014/main" xmlns="" id="{94B7DC67-082F-411D-A38D-F8C19B23C6F1}"/>
            </a:ext>
          </a:extLst>
        </xdr:cNvPr>
        <xdr:cNvSpPr/>
      </xdr:nvSpPr>
      <xdr:spPr>
        <a:xfrm rot="1932844">
          <a:off x="8759824" y="5275325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130173</xdr:colOff>
      <xdr:row>29</xdr:row>
      <xdr:rowOff>131823</xdr:rowOff>
    </xdr:from>
    <xdr:to>
      <xdr:col>10</xdr:col>
      <xdr:colOff>288925</xdr:colOff>
      <xdr:row>30</xdr:row>
      <xdr:rowOff>153929</xdr:rowOff>
    </xdr:to>
    <xdr:sp macro="" textlink="">
      <xdr:nvSpPr>
        <xdr:cNvPr id="24" name="Arrow: Down 23">
          <a:extLst>
            <a:ext uri="{FF2B5EF4-FFF2-40B4-BE49-F238E27FC236}">
              <a16:creationId xmlns:a16="http://schemas.microsoft.com/office/drawing/2014/main" xmlns="" id="{9CD8699A-07A5-4E57-A8B7-07AD6616E005}"/>
            </a:ext>
          </a:extLst>
        </xdr:cNvPr>
        <xdr:cNvSpPr/>
      </xdr:nvSpPr>
      <xdr:spPr>
        <a:xfrm rot="10800000">
          <a:off x="6645273" y="5675373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17521</xdr:colOff>
      <xdr:row>27</xdr:row>
      <xdr:rowOff>6350</xdr:rowOff>
    </xdr:from>
    <xdr:to>
      <xdr:col>9</xdr:col>
      <xdr:colOff>230127</xdr:colOff>
      <xdr:row>27</xdr:row>
      <xdr:rowOff>165102</xdr:rowOff>
    </xdr:to>
    <xdr:sp macro="" textlink="">
      <xdr:nvSpPr>
        <xdr:cNvPr id="25" name="Arrow: Down 24">
          <a:extLst>
            <a:ext uri="{FF2B5EF4-FFF2-40B4-BE49-F238E27FC236}">
              <a16:creationId xmlns:a16="http://schemas.microsoft.com/office/drawing/2014/main" xmlns="" id="{7865566F-C17E-49D6-8F8C-3F81A9CBCBEA}"/>
            </a:ext>
          </a:extLst>
        </xdr:cNvPr>
        <xdr:cNvSpPr/>
      </xdr:nvSpPr>
      <xdr:spPr>
        <a:xfrm rot="16200000">
          <a:off x="5949948" y="5141973"/>
          <a:ext cx="158752" cy="21260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542925</xdr:colOff>
      <xdr:row>18</xdr:row>
      <xdr:rowOff>123825</xdr:rowOff>
    </xdr:from>
    <xdr:to>
      <xdr:col>9</xdr:col>
      <xdr:colOff>57150</xdr:colOff>
      <xdr:row>19</xdr:row>
      <xdr:rowOff>57150</xdr:rowOff>
    </xdr:to>
    <xdr:sp macro="" textlink="">
      <xdr:nvSpPr>
        <xdr:cNvPr id="27" name="Star: 5 Points 26">
          <a:extLst>
            <a:ext uri="{FF2B5EF4-FFF2-40B4-BE49-F238E27FC236}">
              <a16:creationId xmlns:a16="http://schemas.microsoft.com/office/drawing/2014/main" xmlns="" id="{B1757827-4004-D6CD-32B9-F3B5D64D0B86}"/>
            </a:ext>
          </a:extLst>
        </xdr:cNvPr>
        <xdr:cNvSpPr/>
      </xdr:nvSpPr>
      <xdr:spPr>
        <a:xfrm>
          <a:off x="5838825" y="3552825"/>
          <a:ext cx="1238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22</xdr:row>
      <xdr:rowOff>133350</xdr:rowOff>
    </xdr:from>
    <xdr:to>
      <xdr:col>12</xdr:col>
      <xdr:colOff>123825</xdr:colOff>
      <xdr:row>23</xdr:row>
      <xdr:rowOff>76200</xdr:rowOff>
    </xdr:to>
    <xdr:sp macro="" textlink="">
      <xdr:nvSpPr>
        <xdr:cNvPr id="28" name="Star: 5 Points 27">
          <a:extLst>
            <a:ext uri="{FF2B5EF4-FFF2-40B4-BE49-F238E27FC236}">
              <a16:creationId xmlns:a16="http://schemas.microsoft.com/office/drawing/2014/main" xmlns="" id="{9A125777-5BF4-492F-BC99-102CB301C188}"/>
            </a:ext>
          </a:extLst>
        </xdr:cNvPr>
        <xdr:cNvSpPr/>
      </xdr:nvSpPr>
      <xdr:spPr>
        <a:xfrm>
          <a:off x="8372475" y="4343400"/>
          <a:ext cx="1238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85725</xdr:colOff>
      <xdr:row>30</xdr:row>
      <xdr:rowOff>95250</xdr:rowOff>
    </xdr:from>
    <xdr:to>
      <xdr:col>15</xdr:col>
      <xdr:colOff>209550</xdr:colOff>
      <xdr:row>31</xdr:row>
      <xdr:rowOff>38100</xdr:rowOff>
    </xdr:to>
    <xdr:sp macro="" textlink="">
      <xdr:nvSpPr>
        <xdr:cNvPr id="29" name="Star: 5 Points 28">
          <a:extLst>
            <a:ext uri="{FF2B5EF4-FFF2-40B4-BE49-F238E27FC236}">
              <a16:creationId xmlns:a16="http://schemas.microsoft.com/office/drawing/2014/main" xmlns="" id="{308F3662-35FF-402C-8F97-510AC4B2A71E}"/>
            </a:ext>
          </a:extLst>
        </xdr:cNvPr>
        <xdr:cNvSpPr/>
      </xdr:nvSpPr>
      <xdr:spPr>
        <a:xfrm>
          <a:off x="9648825" y="5829300"/>
          <a:ext cx="123825" cy="133350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228600</xdr:colOff>
      <xdr:row>22</xdr:row>
      <xdr:rowOff>19050</xdr:rowOff>
    </xdr:from>
    <xdr:to>
      <xdr:col>15</xdr:col>
      <xdr:colOff>228600</xdr:colOff>
      <xdr:row>32</xdr:row>
      <xdr:rowOff>47625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xmlns="" id="{B6DC15D7-0B2F-EC58-E019-8E3E83F90BEC}"/>
            </a:ext>
          </a:extLst>
        </xdr:cNvPr>
        <xdr:cNvCxnSpPr/>
      </xdr:nvCxnSpPr>
      <xdr:spPr>
        <a:xfrm>
          <a:off x="6391275" y="4229100"/>
          <a:ext cx="4267200" cy="1933575"/>
        </a:xfrm>
        <a:prstGeom prst="line">
          <a:avLst/>
        </a:prstGeom>
        <a:ln w="38100"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209549</xdr:colOff>
      <xdr:row>19</xdr:row>
      <xdr:rowOff>104775</xdr:rowOff>
    </xdr:to>
    <xdr:sp macro="" textlink="">
      <xdr:nvSpPr>
        <xdr:cNvPr id="19" name="Rectangle 18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20</xdr:row>
      <xdr:rowOff>27718</xdr:rowOff>
    </xdr:from>
    <xdr:to>
      <xdr:col>12</xdr:col>
      <xdr:colOff>12584</xdr:colOff>
      <xdr:row>28</xdr:row>
      <xdr:rowOff>30427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7ADD187F-3460-4024-A2FE-5C2863CD48AF}"/>
            </a:ext>
          </a:extLst>
        </xdr:cNvPr>
        <xdr:cNvSpPr/>
      </xdr:nvSpPr>
      <xdr:spPr>
        <a:xfrm>
          <a:off x="6067425" y="3837718"/>
          <a:ext cx="2431934" cy="1526709"/>
        </a:xfrm>
        <a:custGeom>
          <a:avLst/>
          <a:gdLst>
            <a:gd name="connsiteX0" fmla="*/ 38100 w 2431934"/>
            <a:gd name="connsiteY0" fmla="*/ 1505807 h 1526709"/>
            <a:gd name="connsiteX1" fmla="*/ 28575 w 2431934"/>
            <a:gd name="connsiteY1" fmla="*/ 1458182 h 1526709"/>
            <a:gd name="connsiteX2" fmla="*/ 9525 w 2431934"/>
            <a:gd name="connsiteY2" fmla="*/ 1143857 h 1526709"/>
            <a:gd name="connsiteX3" fmla="*/ 0 w 2431934"/>
            <a:gd name="connsiteY3" fmla="*/ 58007 h 1526709"/>
            <a:gd name="connsiteX4" fmla="*/ 66675 w 2431934"/>
            <a:gd name="connsiteY4" fmla="*/ 10382 h 1526709"/>
            <a:gd name="connsiteX5" fmla="*/ 104775 w 2431934"/>
            <a:gd name="connsiteY5" fmla="*/ 29432 h 1526709"/>
            <a:gd name="connsiteX6" fmla="*/ 180975 w 2431934"/>
            <a:gd name="connsiteY6" fmla="*/ 77057 h 1526709"/>
            <a:gd name="connsiteX7" fmla="*/ 200025 w 2431934"/>
            <a:gd name="connsiteY7" fmla="*/ 105632 h 1526709"/>
            <a:gd name="connsiteX8" fmla="*/ 323850 w 2431934"/>
            <a:gd name="connsiteY8" fmla="*/ 153257 h 1526709"/>
            <a:gd name="connsiteX9" fmla="*/ 419100 w 2431934"/>
            <a:gd name="connsiteY9" fmla="*/ 191357 h 1526709"/>
            <a:gd name="connsiteX10" fmla="*/ 523875 w 2431934"/>
            <a:gd name="connsiteY10" fmla="*/ 219932 h 1526709"/>
            <a:gd name="connsiteX11" fmla="*/ 581025 w 2431934"/>
            <a:gd name="connsiteY11" fmla="*/ 248507 h 1526709"/>
            <a:gd name="connsiteX12" fmla="*/ 619125 w 2431934"/>
            <a:gd name="connsiteY12" fmla="*/ 277082 h 1526709"/>
            <a:gd name="connsiteX13" fmla="*/ 723900 w 2431934"/>
            <a:gd name="connsiteY13" fmla="*/ 324707 h 1526709"/>
            <a:gd name="connsiteX14" fmla="*/ 762000 w 2431934"/>
            <a:gd name="connsiteY14" fmla="*/ 343757 h 1526709"/>
            <a:gd name="connsiteX15" fmla="*/ 828675 w 2431934"/>
            <a:gd name="connsiteY15" fmla="*/ 381857 h 1526709"/>
            <a:gd name="connsiteX16" fmla="*/ 857250 w 2431934"/>
            <a:gd name="connsiteY16" fmla="*/ 391382 h 1526709"/>
            <a:gd name="connsiteX17" fmla="*/ 923925 w 2431934"/>
            <a:gd name="connsiteY17" fmla="*/ 410432 h 1526709"/>
            <a:gd name="connsiteX18" fmla="*/ 1019175 w 2431934"/>
            <a:gd name="connsiteY18" fmla="*/ 448532 h 1526709"/>
            <a:gd name="connsiteX19" fmla="*/ 1143000 w 2431934"/>
            <a:gd name="connsiteY19" fmla="*/ 477107 h 1526709"/>
            <a:gd name="connsiteX20" fmla="*/ 1257300 w 2431934"/>
            <a:gd name="connsiteY20" fmla="*/ 524732 h 1526709"/>
            <a:gd name="connsiteX21" fmla="*/ 1304925 w 2431934"/>
            <a:gd name="connsiteY21" fmla="*/ 543782 h 1526709"/>
            <a:gd name="connsiteX22" fmla="*/ 1504950 w 2431934"/>
            <a:gd name="connsiteY22" fmla="*/ 629507 h 1526709"/>
            <a:gd name="connsiteX23" fmla="*/ 1571625 w 2431934"/>
            <a:gd name="connsiteY23" fmla="*/ 658082 h 1526709"/>
            <a:gd name="connsiteX24" fmla="*/ 1714500 w 2431934"/>
            <a:gd name="connsiteY24" fmla="*/ 724757 h 1526709"/>
            <a:gd name="connsiteX25" fmla="*/ 1828800 w 2431934"/>
            <a:gd name="connsiteY25" fmla="*/ 772382 h 1526709"/>
            <a:gd name="connsiteX26" fmla="*/ 1866900 w 2431934"/>
            <a:gd name="connsiteY26" fmla="*/ 810482 h 1526709"/>
            <a:gd name="connsiteX27" fmla="*/ 1876425 w 2431934"/>
            <a:gd name="connsiteY27" fmla="*/ 848582 h 1526709"/>
            <a:gd name="connsiteX28" fmla="*/ 1895475 w 2431934"/>
            <a:gd name="connsiteY28" fmla="*/ 877157 h 1526709"/>
            <a:gd name="connsiteX29" fmla="*/ 1933575 w 2431934"/>
            <a:gd name="connsiteY29" fmla="*/ 943832 h 1526709"/>
            <a:gd name="connsiteX30" fmla="*/ 1962150 w 2431934"/>
            <a:gd name="connsiteY30" fmla="*/ 962882 h 1526709"/>
            <a:gd name="connsiteX31" fmla="*/ 2000250 w 2431934"/>
            <a:gd name="connsiteY31" fmla="*/ 1020032 h 1526709"/>
            <a:gd name="connsiteX32" fmla="*/ 2009775 w 2431934"/>
            <a:gd name="connsiteY32" fmla="*/ 1058132 h 1526709"/>
            <a:gd name="connsiteX33" fmla="*/ 2124075 w 2431934"/>
            <a:gd name="connsiteY33" fmla="*/ 1153382 h 1526709"/>
            <a:gd name="connsiteX34" fmla="*/ 2152650 w 2431934"/>
            <a:gd name="connsiteY34" fmla="*/ 1191482 h 1526709"/>
            <a:gd name="connsiteX35" fmla="*/ 2181225 w 2431934"/>
            <a:gd name="connsiteY35" fmla="*/ 1220057 h 1526709"/>
            <a:gd name="connsiteX36" fmla="*/ 2190750 w 2431934"/>
            <a:gd name="connsiteY36" fmla="*/ 1248632 h 1526709"/>
            <a:gd name="connsiteX37" fmla="*/ 2257425 w 2431934"/>
            <a:gd name="connsiteY37" fmla="*/ 1353407 h 1526709"/>
            <a:gd name="connsiteX38" fmla="*/ 2324100 w 2431934"/>
            <a:gd name="connsiteY38" fmla="*/ 1410557 h 1526709"/>
            <a:gd name="connsiteX39" fmla="*/ 2352675 w 2431934"/>
            <a:gd name="connsiteY39" fmla="*/ 1429607 h 1526709"/>
            <a:gd name="connsiteX40" fmla="*/ 2409825 w 2431934"/>
            <a:gd name="connsiteY40" fmla="*/ 1496282 h 1526709"/>
            <a:gd name="connsiteX41" fmla="*/ 2428875 w 2431934"/>
            <a:gd name="connsiteY41" fmla="*/ 1524857 h 1526709"/>
            <a:gd name="connsiteX42" fmla="*/ 1952625 w 2431934"/>
            <a:gd name="connsiteY42" fmla="*/ 1515332 h 1526709"/>
            <a:gd name="connsiteX43" fmla="*/ 723900 w 2431934"/>
            <a:gd name="connsiteY43" fmla="*/ 1486757 h 1526709"/>
            <a:gd name="connsiteX44" fmla="*/ 657225 w 2431934"/>
            <a:gd name="connsiteY44" fmla="*/ 1477232 h 1526709"/>
            <a:gd name="connsiteX45" fmla="*/ 200025 w 2431934"/>
            <a:gd name="connsiteY45" fmla="*/ 1486757 h 1526709"/>
            <a:gd name="connsiteX46" fmla="*/ 57150 w 2431934"/>
            <a:gd name="connsiteY46" fmla="*/ 1496282 h 1526709"/>
            <a:gd name="connsiteX47" fmla="*/ 38100 w 2431934"/>
            <a:gd name="connsiteY47" fmla="*/ 1505807 h 15267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</a:cxnLst>
          <a:rect l="l" t="t" r="r" b="b"/>
          <a:pathLst>
            <a:path w="2431934" h="1526709">
              <a:moveTo>
                <a:pt x="38100" y="1505807"/>
              </a:moveTo>
              <a:cubicBezTo>
                <a:pt x="33338" y="1499457"/>
                <a:pt x="30865" y="1474209"/>
                <a:pt x="28575" y="1458182"/>
              </a:cubicBezTo>
              <a:cubicBezTo>
                <a:pt x="12739" y="1347332"/>
                <a:pt x="14646" y="1266761"/>
                <a:pt x="9525" y="1143857"/>
              </a:cubicBezTo>
              <a:cubicBezTo>
                <a:pt x="6350" y="781907"/>
                <a:pt x="0" y="419971"/>
                <a:pt x="0" y="58007"/>
              </a:cubicBezTo>
              <a:cubicBezTo>
                <a:pt x="0" y="-20310"/>
                <a:pt x="3175" y="-201"/>
                <a:pt x="66675" y="10382"/>
              </a:cubicBezTo>
              <a:cubicBezTo>
                <a:pt x="79375" y="16732"/>
                <a:pt x="92510" y="22278"/>
                <a:pt x="104775" y="29432"/>
              </a:cubicBezTo>
              <a:cubicBezTo>
                <a:pt x="130648" y="44524"/>
                <a:pt x="180975" y="77057"/>
                <a:pt x="180975" y="77057"/>
              </a:cubicBezTo>
              <a:cubicBezTo>
                <a:pt x="187325" y="86582"/>
                <a:pt x="191231" y="98303"/>
                <a:pt x="200025" y="105632"/>
              </a:cubicBezTo>
              <a:cubicBezTo>
                <a:pt x="222228" y="124135"/>
                <a:pt x="315526" y="149928"/>
                <a:pt x="323850" y="153257"/>
              </a:cubicBezTo>
              <a:cubicBezTo>
                <a:pt x="355600" y="165957"/>
                <a:pt x="385925" y="183063"/>
                <a:pt x="419100" y="191357"/>
              </a:cubicBezTo>
              <a:cubicBezTo>
                <a:pt x="479624" y="206488"/>
                <a:pt x="444613" y="197286"/>
                <a:pt x="523875" y="219932"/>
              </a:cubicBezTo>
              <a:cubicBezTo>
                <a:pt x="673212" y="319490"/>
                <a:pt x="443002" y="169637"/>
                <a:pt x="581025" y="248507"/>
              </a:cubicBezTo>
              <a:cubicBezTo>
                <a:pt x="594808" y="256383"/>
                <a:pt x="605663" y="268668"/>
                <a:pt x="619125" y="277082"/>
              </a:cubicBezTo>
              <a:cubicBezTo>
                <a:pt x="642186" y="291495"/>
                <a:pt x="706614" y="316850"/>
                <a:pt x="723900" y="324707"/>
              </a:cubicBezTo>
              <a:cubicBezTo>
                <a:pt x="736826" y="330583"/>
                <a:pt x="749672" y="336712"/>
                <a:pt x="762000" y="343757"/>
              </a:cubicBezTo>
              <a:cubicBezTo>
                <a:pt x="809829" y="371088"/>
                <a:pt x="771108" y="357185"/>
                <a:pt x="828675" y="381857"/>
              </a:cubicBezTo>
              <a:cubicBezTo>
                <a:pt x="837903" y="385812"/>
                <a:pt x="847633" y="388497"/>
                <a:pt x="857250" y="391382"/>
              </a:cubicBezTo>
              <a:cubicBezTo>
                <a:pt x="879390" y="398024"/>
                <a:pt x="902202" y="402533"/>
                <a:pt x="923925" y="410432"/>
              </a:cubicBezTo>
              <a:cubicBezTo>
                <a:pt x="1030786" y="449290"/>
                <a:pt x="876713" y="409679"/>
                <a:pt x="1019175" y="448532"/>
              </a:cubicBezTo>
              <a:cubicBezTo>
                <a:pt x="1087915" y="467279"/>
                <a:pt x="1058465" y="447520"/>
                <a:pt x="1143000" y="477107"/>
              </a:cubicBezTo>
              <a:cubicBezTo>
                <a:pt x="1181958" y="490742"/>
                <a:pt x="1219134" y="509017"/>
                <a:pt x="1257300" y="524732"/>
              </a:cubicBezTo>
              <a:cubicBezTo>
                <a:pt x="1273110" y="531242"/>
                <a:pt x="1289115" y="537272"/>
                <a:pt x="1304925" y="543782"/>
              </a:cubicBezTo>
              <a:cubicBezTo>
                <a:pt x="1464788" y="609608"/>
                <a:pt x="1368857" y="569966"/>
                <a:pt x="1504950" y="629507"/>
              </a:cubicBezTo>
              <a:cubicBezTo>
                <a:pt x="1527103" y="639199"/>
                <a:pt x="1549998" y="647268"/>
                <a:pt x="1571625" y="658082"/>
              </a:cubicBezTo>
              <a:cubicBezTo>
                <a:pt x="1793979" y="769259"/>
                <a:pt x="1515692" y="631980"/>
                <a:pt x="1714500" y="724757"/>
              </a:cubicBezTo>
              <a:cubicBezTo>
                <a:pt x="1815933" y="772093"/>
                <a:pt x="1756915" y="754411"/>
                <a:pt x="1828800" y="772382"/>
              </a:cubicBezTo>
              <a:cubicBezTo>
                <a:pt x="1841500" y="785082"/>
                <a:pt x="1857381" y="795252"/>
                <a:pt x="1866900" y="810482"/>
              </a:cubicBezTo>
              <a:cubicBezTo>
                <a:pt x="1873838" y="821583"/>
                <a:pt x="1871268" y="836550"/>
                <a:pt x="1876425" y="848582"/>
              </a:cubicBezTo>
              <a:cubicBezTo>
                <a:pt x="1880934" y="859104"/>
                <a:pt x="1889795" y="867218"/>
                <a:pt x="1895475" y="877157"/>
              </a:cubicBezTo>
              <a:cubicBezTo>
                <a:pt x="1905436" y="894588"/>
                <a:pt x="1918104" y="928361"/>
                <a:pt x="1933575" y="943832"/>
              </a:cubicBezTo>
              <a:cubicBezTo>
                <a:pt x="1941670" y="951927"/>
                <a:pt x="1952625" y="956532"/>
                <a:pt x="1962150" y="962882"/>
              </a:cubicBezTo>
              <a:cubicBezTo>
                <a:pt x="1974850" y="981932"/>
                <a:pt x="1994697" y="997820"/>
                <a:pt x="2000250" y="1020032"/>
              </a:cubicBezTo>
              <a:cubicBezTo>
                <a:pt x="2003425" y="1032732"/>
                <a:pt x="2002075" y="1047545"/>
                <a:pt x="2009775" y="1058132"/>
              </a:cubicBezTo>
              <a:cubicBezTo>
                <a:pt x="2050944" y="1114740"/>
                <a:pt x="2072232" y="1122276"/>
                <a:pt x="2124075" y="1153382"/>
              </a:cubicBezTo>
              <a:cubicBezTo>
                <a:pt x="2133600" y="1166082"/>
                <a:pt x="2142319" y="1179429"/>
                <a:pt x="2152650" y="1191482"/>
              </a:cubicBezTo>
              <a:cubicBezTo>
                <a:pt x="2161416" y="1201709"/>
                <a:pt x="2173753" y="1208849"/>
                <a:pt x="2181225" y="1220057"/>
              </a:cubicBezTo>
              <a:cubicBezTo>
                <a:pt x="2186794" y="1228411"/>
                <a:pt x="2186260" y="1239652"/>
                <a:pt x="2190750" y="1248632"/>
              </a:cubicBezTo>
              <a:cubicBezTo>
                <a:pt x="2196876" y="1260884"/>
                <a:pt x="2251386" y="1348877"/>
                <a:pt x="2257425" y="1353407"/>
              </a:cubicBezTo>
              <a:cubicBezTo>
                <a:pt x="2400112" y="1460422"/>
                <a:pt x="2204699" y="1311056"/>
                <a:pt x="2324100" y="1410557"/>
              </a:cubicBezTo>
              <a:cubicBezTo>
                <a:pt x="2332894" y="1417886"/>
                <a:pt x="2343881" y="1422278"/>
                <a:pt x="2352675" y="1429607"/>
              </a:cubicBezTo>
              <a:cubicBezTo>
                <a:pt x="2377110" y="1449969"/>
                <a:pt x="2391276" y="1470313"/>
                <a:pt x="2409825" y="1496282"/>
              </a:cubicBezTo>
              <a:cubicBezTo>
                <a:pt x="2416479" y="1505597"/>
                <a:pt x="2440313" y="1524380"/>
                <a:pt x="2428875" y="1524857"/>
              </a:cubicBezTo>
              <a:cubicBezTo>
                <a:pt x="2270231" y="1531467"/>
                <a:pt x="2111375" y="1518507"/>
                <a:pt x="1952625" y="1515332"/>
              </a:cubicBezTo>
              <a:cubicBezTo>
                <a:pt x="1517013" y="1428210"/>
                <a:pt x="1966968" y="1515224"/>
                <a:pt x="723900" y="1486757"/>
              </a:cubicBezTo>
              <a:cubicBezTo>
                <a:pt x="701455" y="1486243"/>
                <a:pt x="679450" y="1480407"/>
                <a:pt x="657225" y="1477232"/>
              </a:cubicBezTo>
              <a:lnTo>
                <a:pt x="200025" y="1486757"/>
              </a:lnTo>
              <a:cubicBezTo>
                <a:pt x="152318" y="1488271"/>
                <a:pt x="104589" y="1491011"/>
                <a:pt x="57150" y="1496282"/>
              </a:cubicBezTo>
              <a:cubicBezTo>
                <a:pt x="47171" y="1497391"/>
                <a:pt x="42862" y="1512157"/>
                <a:pt x="38100" y="1505807"/>
              </a:cubicBezTo>
              <a:close/>
            </a:path>
          </a:pathLst>
        </a:custGeom>
        <a:solidFill>
          <a:schemeClr val="bg2">
            <a:lumMod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10</xdr:row>
      <xdr:rowOff>9525</xdr:rowOff>
    </xdr:from>
    <xdr:to>
      <xdr:col>8</xdr:col>
      <xdr:colOff>9525</xdr:colOff>
      <xdr:row>31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6EE502AC-926C-42F2-ABF4-1E4C7C68EB1D}"/>
            </a:ext>
          </a:extLst>
        </xdr:cNvPr>
        <xdr:cNvCxnSpPr/>
      </xdr:nvCxnSpPr>
      <xdr:spPr>
        <a:xfrm flipH="1" flipV="1">
          <a:off x="6048375" y="1914525"/>
          <a:ext cx="9525" cy="41719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32</xdr:row>
      <xdr:rowOff>0</xdr:rowOff>
    </xdr:from>
    <xdr:to>
      <xdr:col>18</xdr:col>
      <xdr:colOff>142875</xdr:colOff>
      <xdr:row>32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29B8E3B3-D302-4A61-86E7-0940259475F3}"/>
            </a:ext>
          </a:extLst>
        </xdr:cNvPr>
        <xdr:cNvCxnSpPr/>
      </xdr:nvCxnSpPr>
      <xdr:spPr>
        <a:xfrm>
          <a:off x="6048375" y="6096000"/>
          <a:ext cx="6238875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247650</xdr:colOff>
      <xdr:row>14</xdr:row>
      <xdr:rowOff>95250</xdr:rowOff>
    </xdr:from>
    <xdr:to>
      <xdr:col>16</xdr:col>
      <xdr:colOff>438150</xdr:colOff>
      <xdr:row>33</xdr:row>
      <xdr:rowOff>76200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2376DD95-34BB-43CD-A9A8-CF38031A3F7C}"/>
            </a:ext>
          </a:extLst>
        </xdr:cNvPr>
        <xdr:cNvCxnSpPr/>
      </xdr:nvCxnSpPr>
      <xdr:spPr>
        <a:xfrm>
          <a:off x="5686425" y="2762250"/>
          <a:ext cx="5676900" cy="3600450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17</xdr:row>
      <xdr:rowOff>133350</xdr:rowOff>
    </xdr:from>
    <xdr:to>
      <xdr:col>8</xdr:col>
      <xdr:colOff>581025</xdr:colOff>
      <xdr:row>18</xdr:row>
      <xdr:rowOff>180975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xmlns="" id="{9549E235-AB02-4F49-A56E-7478308712C4}"/>
            </a:ext>
          </a:extLst>
        </xdr:cNvPr>
        <xdr:cNvSpPr/>
      </xdr:nvSpPr>
      <xdr:spPr>
        <a:xfrm rot="1788598">
          <a:off x="6477000" y="3371850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85725</xdr:colOff>
      <xdr:row>28</xdr:row>
      <xdr:rowOff>114299</xdr:rowOff>
    </xdr:from>
    <xdr:to>
      <xdr:col>14</xdr:col>
      <xdr:colOff>238125</xdr:colOff>
      <xdr:row>29</xdr:row>
      <xdr:rowOff>161924</xdr:rowOff>
    </xdr:to>
    <xdr:sp macro="" textlink="">
      <xdr:nvSpPr>
        <xdr:cNvPr id="7" name="Arrow: Down 6">
          <a:extLst>
            <a:ext uri="{FF2B5EF4-FFF2-40B4-BE49-F238E27FC236}">
              <a16:creationId xmlns:a16="http://schemas.microsoft.com/office/drawing/2014/main" xmlns="" id="{C4CA6820-7629-4CE6-AD89-89C48C9F33A2}"/>
            </a:ext>
          </a:extLst>
        </xdr:cNvPr>
        <xdr:cNvSpPr/>
      </xdr:nvSpPr>
      <xdr:spPr>
        <a:xfrm rot="1788598">
          <a:off x="9791700" y="5448299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247650</xdr:colOff>
      <xdr:row>9</xdr:row>
      <xdr:rowOff>152400</xdr:rowOff>
    </xdr:from>
    <xdr:to>
      <xdr:col>13</xdr:col>
      <xdr:colOff>257175</xdr:colOff>
      <xdr:row>33</xdr:row>
      <xdr:rowOff>133350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xmlns="" id="{D2182DFC-33AE-4BC2-9F17-1D23BBC38894}"/>
            </a:ext>
          </a:extLst>
        </xdr:cNvPr>
        <xdr:cNvCxnSpPr/>
      </xdr:nvCxnSpPr>
      <xdr:spPr>
        <a:xfrm>
          <a:off x="5686425" y="1866900"/>
          <a:ext cx="3667125" cy="4552950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452437</xdr:colOff>
      <xdr:row>24</xdr:row>
      <xdr:rowOff>119060</xdr:rowOff>
    </xdr:from>
    <xdr:to>
      <xdr:col>11</xdr:col>
      <xdr:colOff>80962</xdr:colOff>
      <xdr:row>25</xdr:row>
      <xdr:rowOff>80960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xmlns="" id="{E8207F13-DF53-4CFB-8301-66217598DE4B}"/>
            </a:ext>
          </a:extLst>
        </xdr:cNvPr>
        <xdr:cNvSpPr/>
      </xdr:nvSpPr>
      <xdr:spPr>
        <a:xfrm rot="2903300">
          <a:off x="7762875" y="4648197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100012</xdr:colOff>
      <xdr:row>14</xdr:row>
      <xdr:rowOff>61912</xdr:rowOff>
    </xdr:from>
    <xdr:to>
      <xdr:col>8</xdr:col>
      <xdr:colOff>338137</xdr:colOff>
      <xdr:row>15</xdr:row>
      <xdr:rowOff>23812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xmlns="" id="{E702C9A9-3532-4A24-AA7D-3D825514F534}"/>
            </a:ext>
          </a:extLst>
        </xdr:cNvPr>
        <xdr:cNvSpPr/>
      </xdr:nvSpPr>
      <xdr:spPr>
        <a:xfrm rot="2903300">
          <a:off x="6191250" y="2686049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228600</xdr:colOff>
      <xdr:row>19</xdr:row>
      <xdr:rowOff>19050</xdr:rowOff>
    </xdr:from>
    <xdr:to>
      <xdr:col>17</xdr:col>
      <xdr:colOff>228600</xdr:colOff>
      <xdr:row>32</xdr:row>
      <xdr:rowOff>95250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66D99BCD-9E5A-4ECA-81CD-555BBC166E94}"/>
            </a:ext>
          </a:extLst>
        </xdr:cNvPr>
        <xdr:cNvCxnSpPr/>
      </xdr:nvCxnSpPr>
      <xdr:spPr>
        <a:xfrm>
          <a:off x="5667375" y="3638550"/>
          <a:ext cx="6096000" cy="2552700"/>
        </a:xfrm>
        <a:prstGeom prst="line">
          <a:avLst/>
        </a:prstGeom>
        <a:ln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342901</xdr:colOff>
      <xdr:row>21</xdr:row>
      <xdr:rowOff>0</xdr:rowOff>
    </xdr:from>
    <xdr:to>
      <xdr:col>8</xdr:col>
      <xdr:colOff>495301</xdr:colOff>
      <xdr:row>22</xdr:row>
      <xdr:rowOff>47625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xmlns="" id="{B3EEA5EB-9F3A-4BF9-B27D-7E2D5169E40D}"/>
            </a:ext>
          </a:extLst>
        </xdr:cNvPr>
        <xdr:cNvSpPr/>
      </xdr:nvSpPr>
      <xdr:spPr>
        <a:xfrm rot="1788598">
          <a:off x="6391276" y="4000500"/>
          <a:ext cx="152400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507492</xdr:colOff>
      <xdr:row>30</xdr:row>
      <xdr:rowOff>154482</xdr:rowOff>
    </xdr:from>
    <xdr:to>
      <xdr:col>16</xdr:col>
      <xdr:colOff>81577</xdr:colOff>
      <xdr:row>31</xdr:row>
      <xdr:rowOff>106203</xdr:rowOff>
    </xdr:to>
    <xdr:sp macro="" textlink="">
      <xdr:nvSpPr>
        <xdr:cNvPr id="13" name="Arrow: Down 12">
          <a:extLst>
            <a:ext uri="{FF2B5EF4-FFF2-40B4-BE49-F238E27FC236}">
              <a16:creationId xmlns:a16="http://schemas.microsoft.com/office/drawing/2014/main" xmlns="" id="{305318C1-6E52-45EC-83CB-4377B36C5B3D}"/>
            </a:ext>
          </a:extLst>
        </xdr:cNvPr>
        <xdr:cNvSpPr/>
      </xdr:nvSpPr>
      <xdr:spPr>
        <a:xfrm rot="1788598">
          <a:off x="10823067" y="5869482"/>
          <a:ext cx="183685" cy="1422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13</xdr:row>
      <xdr:rowOff>0</xdr:rowOff>
    </xdr:from>
    <xdr:to>
      <xdr:col>12</xdr:col>
      <xdr:colOff>0</xdr:colOff>
      <xdr:row>34</xdr:row>
      <xdr:rowOff>38100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xmlns="" id="{0972363B-843E-426C-9797-0B03EF5E708B}"/>
            </a:ext>
          </a:extLst>
        </xdr:cNvPr>
        <xdr:cNvCxnSpPr/>
      </xdr:nvCxnSpPr>
      <xdr:spPr>
        <a:xfrm>
          <a:off x="8486775" y="2476500"/>
          <a:ext cx="0" cy="4038600"/>
        </a:xfrm>
        <a:prstGeom prst="line">
          <a:avLst/>
        </a:prstGeom>
        <a:ln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386147</xdr:colOff>
      <xdr:row>30</xdr:row>
      <xdr:rowOff>108045</xdr:rowOff>
    </xdr:from>
    <xdr:to>
      <xdr:col>12</xdr:col>
      <xdr:colOff>14672</xdr:colOff>
      <xdr:row>31</xdr:row>
      <xdr:rowOff>126157</xdr:rowOff>
    </xdr:to>
    <xdr:sp macro="" textlink="">
      <xdr:nvSpPr>
        <xdr:cNvPr id="15" name="Arrow: Down 14">
          <a:extLst>
            <a:ext uri="{FF2B5EF4-FFF2-40B4-BE49-F238E27FC236}">
              <a16:creationId xmlns:a16="http://schemas.microsoft.com/office/drawing/2014/main" xmlns="" id="{B632B591-7EAD-411A-A65C-AA7CD2776061}"/>
            </a:ext>
          </a:extLst>
        </xdr:cNvPr>
        <xdr:cNvSpPr/>
      </xdr:nvSpPr>
      <xdr:spPr>
        <a:xfrm rot="5400000">
          <a:off x="8278079" y="5808288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466725</xdr:colOff>
      <xdr:row>27</xdr:row>
      <xdr:rowOff>180975</xdr:rowOff>
    </xdr:from>
    <xdr:to>
      <xdr:col>16</xdr:col>
      <xdr:colOff>104775</xdr:colOff>
      <xdr:row>27</xdr:row>
      <xdr:rowOff>180975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xmlns="" id="{87573C77-5940-492C-B978-80DF2CDC0B36}"/>
            </a:ext>
          </a:extLst>
        </xdr:cNvPr>
        <xdr:cNvCxnSpPr/>
      </xdr:nvCxnSpPr>
      <xdr:spPr>
        <a:xfrm flipH="1">
          <a:off x="5905500" y="5324475"/>
          <a:ext cx="5124450" cy="0"/>
        </a:xfrm>
        <a:prstGeom prst="line">
          <a:avLst/>
        </a:prstGeom>
        <a:ln/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410429</xdr:colOff>
      <xdr:row>26</xdr:row>
      <xdr:rowOff>112336</xdr:rowOff>
    </xdr:from>
    <xdr:to>
      <xdr:col>10</xdr:col>
      <xdr:colOff>9441</xdr:colOff>
      <xdr:row>27</xdr:row>
      <xdr:rowOff>159961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1D800283-8035-499A-94A6-27CD418A8347}"/>
            </a:ext>
          </a:extLst>
        </xdr:cNvPr>
        <xdr:cNvSpPr/>
      </xdr:nvSpPr>
      <xdr:spPr>
        <a:xfrm rot="10800000">
          <a:off x="7068404" y="5065336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24197</xdr:colOff>
      <xdr:row>25</xdr:row>
      <xdr:rowOff>108043</xdr:rowOff>
    </xdr:from>
    <xdr:to>
      <xdr:col>8</xdr:col>
      <xdr:colOff>262322</xdr:colOff>
      <xdr:row>26</xdr:row>
      <xdr:rowOff>126155</xdr:rowOff>
    </xdr:to>
    <xdr:sp macro="" textlink="">
      <xdr:nvSpPr>
        <xdr:cNvPr id="18" name="Arrow: Down 17">
          <a:extLst>
            <a:ext uri="{FF2B5EF4-FFF2-40B4-BE49-F238E27FC236}">
              <a16:creationId xmlns:a16="http://schemas.microsoft.com/office/drawing/2014/main" xmlns="" id="{7B6FBDD9-1EAA-4979-B944-BF81162F5BEB}"/>
            </a:ext>
          </a:extLst>
        </xdr:cNvPr>
        <xdr:cNvSpPr/>
      </xdr:nvSpPr>
      <xdr:spPr>
        <a:xfrm rot="16200000">
          <a:off x="6087329" y="4855786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448530</xdr:colOff>
      <xdr:row>30</xdr:row>
      <xdr:rowOff>131387</xdr:rowOff>
    </xdr:from>
    <xdr:to>
      <xdr:col>10</xdr:col>
      <xdr:colOff>47542</xdr:colOff>
      <xdr:row>31</xdr:row>
      <xdr:rowOff>179012</xdr:rowOff>
    </xdr:to>
    <xdr:sp macro="" textlink="">
      <xdr:nvSpPr>
        <xdr:cNvPr id="19" name="Arrow: Down 18">
          <a:extLst>
            <a:ext uri="{FF2B5EF4-FFF2-40B4-BE49-F238E27FC236}">
              <a16:creationId xmlns:a16="http://schemas.microsoft.com/office/drawing/2014/main" xmlns="" id="{C69C909C-ACE0-42CD-AE6F-4FE030E5F8B4}"/>
            </a:ext>
          </a:extLst>
        </xdr:cNvPr>
        <xdr:cNvSpPr/>
      </xdr:nvSpPr>
      <xdr:spPr>
        <a:xfrm rot="10800000">
          <a:off x="7106505" y="5846387"/>
          <a:ext cx="208612" cy="2381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542925</xdr:colOff>
      <xdr:row>27</xdr:row>
      <xdr:rowOff>85725</xdr:rowOff>
    </xdr:from>
    <xdr:to>
      <xdr:col>8</xdr:col>
      <xdr:colOff>76200</xdr:colOff>
      <xdr:row>28</xdr:row>
      <xdr:rowOff>38100</xdr:rowOff>
    </xdr:to>
    <xdr:sp macro="" textlink="">
      <xdr:nvSpPr>
        <xdr:cNvPr id="20" name="Flowchart: Connector 19">
          <a:extLst>
            <a:ext uri="{FF2B5EF4-FFF2-40B4-BE49-F238E27FC236}">
              <a16:creationId xmlns:a16="http://schemas.microsoft.com/office/drawing/2014/main" xmlns="" id="{0B430934-FCC1-4BFB-817D-2183047D1573}"/>
            </a:ext>
          </a:extLst>
        </xdr:cNvPr>
        <xdr:cNvSpPr/>
      </xdr:nvSpPr>
      <xdr:spPr>
        <a:xfrm>
          <a:off x="5981700" y="522922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533400</xdr:colOff>
      <xdr:row>19</xdr:row>
      <xdr:rowOff>123825</xdr:rowOff>
    </xdr:from>
    <xdr:to>
      <xdr:col>8</xdr:col>
      <xdr:colOff>66675</xdr:colOff>
      <xdr:row>20</xdr:row>
      <xdr:rowOff>76200</xdr:rowOff>
    </xdr:to>
    <xdr:sp macro="" textlink="">
      <xdr:nvSpPr>
        <xdr:cNvPr id="21" name="Flowchart: Connector 20">
          <a:extLst>
            <a:ext uri="{FF2B5EF4-FFF2-40B4-BE49-F238E27FC236}">
              <a16:creationId xmlns:a16="http://schemas.microsoft.com/office/drawing/2014/main" xmlns="" id="{FFFD1A4B-A29D-4246-A943-BA3AF3B04876}"/>
            </a:ext>
          </a:extLst>
        </xdr:cNvPr>
        <xdr:cNvSpPr/>
      </xdr:nvSpPr>
      <xdr:spPr>
        <a:xfrm>
          <a:off x="5972175" y="374332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514350</xdr:colOff>
      <xdr:row>23</xdr:row>
      <xdr:rowOff>104775</xdr:rowOff>
    </xdr:from>
    <xdr:to>
      <xdr:col>11</xdr:col>
      <xdr:colOff>47625</xdr:colOff>
      <xdr:row>24</xdr:row>
      <xdr:rowOff>57150</xdr:rowOff>
    </xdr:to>
    <xdr:sp macro="" textlink="">
      <xdr:nvSpPr>
        <xdr:cNvPr id="22" name="Flowchart: Connector 21">
          <a:extLst>
            <a:ext uri="{FF2B5EF4-FFF2-40B4-BE49-F238E27FC236}">
              <a16:creationId xmlns:a16="http://schemas.microsoft.com/office/drawing/2014/main" xmlns="" id="{09C122DA-8411-4318-9526-701E140E3508}"/>
            </a:ext>
          </a:extLst>
        </xdr:cNvPr>
        <xdr:cNvSpPr/>
      </xdr:nvSpPr>
      <xdr:spPr>
        <a:xfrm>
          <a:off x="7781925" y="4486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514350</xdr:colOff>
      <xdr:row>27</xdr:row>
      <xdr:rowOff>104775</xdr:rowOff>
    </xdr:from>
    <xdr:to>
      <xdr:col>12</xdr:col>
      <xdr:colOff>47625</xdr:colOff>
      <xdr:row>28</xdr:row>
      <xdr:rowOff>57150</xdr:rowOff>
    </xdr:to>
    <xdr:sp macro="" textlink="">
      <xdr:nvSpPr>
        <xdr:cNvPr id="23" name="Flowchart: Connector 22">
          <a:extLst>
            <a:ext uri="{FF2B5EF4-FFF2-40B4-BE49-F238E27FC236}">
              <a16:creationId xmlns:a16="http://schemas.microsoft.com/office/drawing/2014/main" xmlns="" id="{7504910B-B851-411B-933C-80ECDEA0D4A6}"/>
            </a:ext>
          </a:extLst>
        </xdr:cNvPr>
        <xdr:cNvSpPr/>
      </xdr:nvSpPr>
      <xdr:spPr>
        <a:xfrm>
          <a:off x="8391525" y="5248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57149</xdr:colOff>
      <xdr:row>19</xdr:row>
      <xdr:rowOff>114300</xdr:rowOff>
    </xdr:to>
    <xdr:sp macro="" textlink="">
      <xdr:nvSpPr>
        <xdr:cNvPr id="24" name="Rectangle 2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</xdr:row>
      <xdr:rowOff>47625</xdr:rowOff>
    </xdr:from>
    <xdr:to>
      <xdr:col>9</xdr:col>
      <xdr:colOff>19050</xdr:colOff>
      <xdr:row>26</xdr:row>
      <xdr:rowOff>19050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7617D56B-9EB3-4EF8-98A5-39E221056E06}"/>
            </a:ext>
          </a:extLst>
        </xdr:cNvPr>
        <xdr:cNvCxnSpPr/>
      </xdr:nvCxnSpPr>
      <xdr:spPr>
        <a:xfrm flipH="1" flipV="1">
          <a:off x="6743700" y="1571625"/>
          <a:ext cx="19050" cy="34004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25</xdr:row>
      <xdr:rowOff>180975</xdr:rowOff>
    </xdr:from>
    <xdr:to>
      <xdr:col>19</xdr:col>
      <xdr:colOff>276225</xdr:colOff>
      <xdr:row>26</xdr:row>
      <xdr:rowOff>9525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7124066C-2803-40AF-81E2-DE8F485FCC9D}"/>
            </a:ext>
          </a:extLst>
        </xdr:cNvPr>
        <xdr:cNvCxnSpPr/>
      </xdr:nvCxnSpPr>
      <xdr:spPr>
        <a:xfrm flipV="1">
          <a:off x="6753225" y="4943475"/>
          <a:ext cx="6362700" cy="190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314325</xdr:colOff>
      <xdr:row>15</xdr:row>
      <xdr:rowOff>57150</xdr:rowOff>
    </xdr:from>
    <xdr:to>
      <xdr:col>17</xdr:col>
      <xdr:colOff>342900</xdr:colOff>
      <xdr:row>26</xdr:row>
      <xdr:rowOff>133350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53F8E40E-0704-4476-ABC8-B1E31230F05B}"/>
            </a:ext>
          </a:extLst>
        </xdr:cNvPr>
        <xdr:cNvCxnSpPr/>
      </xdr:nvCxnSpPr>
      <xdr:spPr>
        <a:xfrm>
          <a:off x="5505450" y="2914650"/>
          <a:ext cx="5514975" cy="2171700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280787</xdr:colOff>
      <xdr:row>15</xdr:row>
      <xdr:rowOff>14542</xdr:rowOff>
    </xdr:from>
    <xdr:to>
      <xdr:col>9</xdr:col>
      <xdr:colOff>553584</xdr:colOff>
      <xdr:row>16</xdr:row>
      <xdr:rowOff>107154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7EB16442-E919-4F1E-A013-5CB7592EDC6B}"/>
            </a:ext>
          </a:extLst>
        </xdr:cNvPr>
        <xdr:cNvSpPr/>
      </xdr:nvSpPr>
      <xdr:spPr>
        <a:xfrm rot="12377833">
          <a:off x="6081512" y="2872042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414191</xdr:colOff>
      <xdr:row>25</xdr:row>
      <xdr:rowOff>22333</xdr:rowOff>
    </xdr:from>
    <xdr:to>
      <xdr:col>17</xdr:col>
      <xdr:colOff>77388</xdr:colOff>
      <xdr:row>25</xdr:row>
      <xdr:rowOff>176691</xdr:rowOff>
    </xdr:to>
    <xdr:sp macro="" textlink="">
      <xdr:nvSpPr>
        <xdr:cNvPr id="18" name="Arrow: Down 17">
          <a:extLst>
            <a:ext uri="{FF2B5EF4-FFF2-40B4-BE49-F238E27FC236}">
              <a16:creationId xmlns:a16="http://schemas.microsoft.com/office/drawing/2014/main" xmlns="" id="{2299A3F6-65B0-4190-9088-BA1B18552229}"/>
            </a:ext>
          </a:extLst>
        </xdr:cNvPr>
        <xdr:cNvSpPr/>
      </xdr:nvSpPr>
      <xdr:spPr>
        <a:xfrm rot="12377833">
          <a:off x="10482116" y="4784833"/>
          <a:ext cx="272797" cy="1543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504825</xdr:colOff>
      <xdr:row>10</xdr:row>
      <xdr:rowOff>66675</xdr:rowOff>
    </xdr:from>
    <xdr:to>
      <xdr:col>13</xdr:col>
      <xdr:colOff>95250</xdr:colOff>
      <xdr:row>26</xdr:row>
      <xdr:rowOff>142875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xmlns="" id="{B72AE160-365C-4794-BDC5-9A6A02C981AF}"/>
            </a:ext>
          </a:extLst>
        </xdr:cNvPr>
        <xdr:cNvCxnSpPr/>
      </xdr:nvCxnSpPr>
      <xdr:spPr>
        <a:xfrm>
          <a:off x="5695950" y="1971675"/>
          <a:ext cx="2638425" cy="3124200"/>
        </a:xfrm>
        <a:prstGeom prst="line">
          <a:avLst/>
        </a:prstGeom>
        <a:ln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580429</xdr:colOff>
      <xdr:row>13</xdr:row>
      <xdr:rowOff>86375</xdr:rowOff>
    </xdr:from>
    <xdr:to>
      <xdr:col>10</xdr:col>
      <xdr:colOff>253941</xdr:colOff>
      <xdr:row>14</xdr:row>
      <xdr:rowOff>168672</xdr:rowOff>
    </xdr:to>
    <xdr:sp macro="" textlink="">
      <xdr:nvSpPr>
        <xdr:cNvPr id="27" name="Arrow: Down 26">
          <a:extLst>
            <a:ext uri="{FF2B5EF4-FFF2-40B4-BE49-F238E27FC236}">
              <a16:creationId xmlns:a16="http://schemas.microsoft.com/office/drawing/2014/main" xmlns="" id="{6BE8FC2B-17E4-4E14-A757-F2E3CF154917}"/>
            </a:ext>
          </a:extLst>
        </xdr:cNvPr>
        <xdr:cNvSpPr/>
      </xdr:nvSpPr>
      <xdr:spPr>
        <a:xfrm rot="13983793">
          <a:off x="6386311" y="255771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189905</xdr:colOff>
      <xdr:row>22</xdr:row>
      <xdr:rowOff>76850</xdr:rowOff>
    </xdr:from>
    <xdr:to>
      <xdr:col>12</xdr:col>
      <xdr:colOff>473017</xdr:colOff>
      <xdr:row>23</xdr:row>
      <xdr:rowOff>159147</xdr:rowOff>
    </xdr:to>
    <xdr:sp macro="" textlink="">
      <xdr:nvSpPr>
        <xdr:cNvPr id="28" name="Arrow: Down 27">
          <a:extLst>
            <a:ext uri="{FF2B5EF4-FFF2-40B4-BE49-F238E27FC236}">
              <a16:creationId xmlns:a16="http://schemas.microsoft.com/office/drawing/2014/main" xmlns="" id="{4F3C76BE-C72C-40BF-B26D-0B26163CD380}"/>
            </a:ext>
          </a:extLst>
        </xdr:cNvPr>
        <xdr:cNvSpPr/>
      </xdr:nvSpPr>
      <xdr:spPr>
        <a:xfrm rot="13983793">
          <a:off x="7824587" y="4262693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400050</xdr:colOff>
      <xdr:row>9</xdr:row>
      <xdr:rowOff>28575</xdr:rowOff>
    </xdr:from>
    <xdr:to>
      <xdr:col>15</xdr:col>
      <xdr:colOff>447675</xdr:colOff>
      <xdr:row>26</xdr:row>
      <xdr:rowOff>104775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xmlns="" id="{3CF8A100-B4AE-4CD1-983E-094F920FB97F}"/>
            </a:ext>
          </a:extLst>
        </xdr:cNvPr>
        <xdr:cNvCxnSpPr/>
      </xdr:nvCxnSpPr>
      <xdr:spPr>
        <a:xfrm>
          <a:off x="5591175" y="1743075"/>
          <a:ext cx="4314825" cy="3314700"/>
        </a:xfrm>
        <a:prstGeom prst="line">
          <a:avLst/>
        </a:prstGeom>
        <a:ln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290311</xdr:colOff>
      <xdr:row>9</xdr:row>
      <xdr:rowOff>176468</xdr:rowOff>
    </xdr:from>
    <xdr:to>
      <xdr:col>9</xdr:col>
      <xdr:colOff>563108</xdr:colOff>
      <xdr:row>11</xdr:row>
      <xdr:rowOff>78580</xdr:rowOff>
    </xdr:to>
    <xdr:sp macro="" textlink="">
      <xdr:nvSpPr>
        <xdr:cNvPr id="32" name="Arrow: Down 31">
          <a:extLst>
            <a:ext uri="{FF2B5EF4-FFF2-40B4-BE49-F238E27FC236}">
              <a16:creationId xmlns:a16="http://schemas.microsoft.com/office/drawing/2014/main" xmlns="" id="{E182F8A6-EBBD-4E82-BCB0-46797456A1EA}"/>
            </a:ext>
          </a:extLst>
        </xdr:cNvPr>
        <xdr:cNvSpPr/>
      </xdr:nvSpPr>
      <xdr:spPr>
        <a:xfrm rot="13020669">
          <a:off x="6091036" y="189096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147436</xdr:colOff>
      <xdr:row>24</xdr:row>
      <xdr:rowOff>14543</xdr:rowOff>
    </xdr:from>
    <xdr:to>
      <xdr:col>15</xdr:col>
      <xdr:colOff>420233</xdr:colOff>
      <xdr:row>25</xdr:row>
      <xdr:rowOff>107155</xdr:rowOff>
    </xdr:to>
    <xdr:sp macro="" textlink="">
      <xdr:nvSpPr>
        <xdr:cNvPr id="34" name="Arrow: Down 33">
          <a:extLst>
            <a:ext uri="{FF2B5EF4-FFF2-40B4-BE49-F238E27FC236}">
              <a16:creationId xmlns:a16="http://schemas.microsoft.com/office/drawing/2014/main" xmlns="" id="{C26491B1-F59B-41FA-9F47-8D8F89330DFE}"/>
            </a:ext>
          </a:extLst>
        </xdr:cNvPr>
        <xdr:cNvSpPr/>
      </xdr:nvSpPr>
      <xdr:spPr>
        <a:xfrm rot="13080959">
          <a:off x="9605761" y="4586543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285750</xdr:colOff>
      <xdr:row>19</xdr:row>
      <xdr:rowOff>85725</xdr:rowOff>
    </xdr:from>
    <xdr:to>
      <xdr:col>19</xdr:col>
      <xdr:colOff>219075</xdr:colOff>
      <xdr:row>26</xdr:row>
      <xdr:rowOff>38100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xmlns="" id="{2A363344-5877-44AE-BBB0-AF9DE32B2E65}"/>
            </a:ext>
          </a:extLst>
        </xdr:cNvPr>
        <xdr:cNvCxnSpPr/>
      </xdr:nvCxnSpPr>
      <xdr:spPr>
        <a:xfrm>
          <a:off x="5476875" y="3705225"/>
          <a:ext cx="6638925" cy="1285875"/>
        </a:xfrm>
        <a:prstGeom prst="line">
          <a:avLst/>
        </a:prstGeom>
        <a:ln/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128386</xdr:colOff>
      <xdr:row>23</xdr:row>
      <xdr:rowOff>81218</xdr:rowOff>
    </xdr:from>
    <xdr:to>
      <xdr:col>17</xdr:col>
      <xdr:colOff>401183</xdr:colOff>
      <xdr:row>24</xdr:row>
      <xdr:rowOff>173830</xdr:rowOff>
    </xdr:to>
    <xdr:sp macro="" textlink="">
      <xdr:nvSpPr>
        <xdr:cNvPr id="38" name="Arrow: Down 37">
          <a:extLst>
            <a:ext uri="{FF2B5EF4-FFF2-40B4-BE49-F238E27FC236}">
              <a16:creationId xmlns:a16="http://schemas.microsoft.com/office/drawing/2014/main" xmlns="" id="{E6DC3287-EBE4-4B5D-9D28-D7D8B18366B1}"/>
            </a:ext>
          </a:extLst>
        </xdr:cNvPr>
        <xdr:cNvSpPr/>
      </xdr:nvSpPr>
      <xdr:spPr>
        <a:xfrm rot="11813193">
          <a:off x="10805911" y="446271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566536</xdr:colOff>
      <xdr:row>18</xdr:row>
      <xdr:rowOff>176468</xdr:rowOff>
    </xdr:from>
    <xdr:to>
      <xdr:col>10</xdr:col>
      <xdr:colOff>229733</xdr:colOff>
      <xdr:row>20</xdr:row>
      <xdr:rowOff>78580</xdr:rowOff>
    </xdr:to>
    <xdr:sp macro="" textlink="">
      <xdr:nvSpPr>
        <xdr:cNvPr id="39" name="Arrow: Down 38">
          <a:extLst>
            <a:ext uri="{FF2B5EF4-FFF2-40B4-BE49-F238E27FC236}">
              <a16:creationId xmlns:a16="http://schemas.microsoft.com/office/drawing/2014/main" xmlns="" id="{98E4D798-D9F2-46BA-B63C-18D41AFCCD83}"/>
            </a:ext>
          </a:extLst>
        </xdr:cNvPr>
        <xdr:cNvSpPr/>
      </xdr:nvSpPr>
      <xdr:spPr>
        <a:xfrm rot="11525160">
          <a:off x="6367261" y="3605468"/>
          <a:ext cx="272797" cy="28311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533400</xdr:colOff>
      <xdr:row>9</xdr:row>
      <xdr:rowOff>104775</xdr:rowOff>
    </xdr:from>
    <xdr:to>
      <xdr:col>9</xdr:col>
      <xdr:colOff>66675</xdr:colOff>
      <xdr:row>10</xdr:row>
      <xdr:rowOff>57150</xdr:rowOff>
    </xdr:to>
    <xdr:sp macro="" textlink="">
      <xdr:nvSpPr>
        <xdr:cNvPr id="40" name="Flowchart: Connector 39">
          <a:extLst>
            <a:ext uri="{FF2B5EF4-FFF2-40B4-BE49-F238E27FC236}">
              <a16:creationId xmlns:a16="http://schemas.microsoft.com/office/drawing/2014/main" xmlns="" id="{6DD95DA3-25B0-44EE-A6F1-172C48AD5A62}"/>
            </a:ext>
          </a:extLst>
        </xdr:cNvPr>
        <xdr:cNvSpPr/>
      </xdr:nvSpPr>
      <xdr:spPr>
        <a:xfrm>
          <a:off x="5724525" y="1819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466725</xdr:colOff>
      <xdr:row>21</xdr:row>
      <xdr:rowOff>133350</xdr:rowOff>
    </xdr:from>
    <xdr:to>
      <xdr:col>14</xdr:col>
      <xdr:colOff>0</xdr:colOff>
      <xdr:row>22</xdr:row>
      <xdr:rowOff>85725</xdr:rowOff>
    </xdr:to>
    <xdr:sp macro="" textlink="">
      <xdr:nvSpPr>
        <xdr:cNvPr id="42" name="Flowchart: Connector 41">
          <a:extLst>
            <a:ext uri="{FF2B5EF4-FFF2-40B4-BE49-F238E27FC236}">
              <a16:creationId xmlns:a16="http://schemas.microsoft.com/office/drawing/2014/main" xmlns="" id="{70725B0C-A1E9-4234-B002-1E700CDEEAD2}"/>
            </a:ext>
          </a:extLst>
        </xdr:cNvPr>
        <xdr:cNvSpPr/>
      </xdr:nvSpPr>
      <xdr:spPr>
        <a:xfrm>
          <a:off x="8705850" y="413385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571500</xdr:colOff>
      <xdr:row>23</xdr:row>
      <xdr:rowOff>9525</xdr:rowOff>
    </xdr:from>
    <xdr:to>
      <xdr:col>15</xdr:col>
      <xdr:colOff>104775</xdr:colOff>
      <xdr:row>23</xdr:row>
      <xdr:rowOff>152400</xdr:rowOff>
    </xdr:to>
    <xdr:sp macro="" textlink="">
      <xdr:nvSpPr>
        <xdr:cNvPr id="43" name="Flowchart: Connector 42">
          <a:extLst>
            <a:ext uri="{FF2B5EF4-FFF2-40B4-BE49-F238E27FC236}">
              <a16:creationId xmlns:a16="http://schemas.microsoft.com/office/drawing/2014/main" xmlns="" id="{8ABDDE06-BAE4-4D86-81B4-8588F3C60491}"/>
            </a:ext>
          </a:extLst>
        </xdr:cNvPr>
        <xdr:cNvSpPr/>
      </xdr:nvSpPr>
      <xdr:spPr>
        <a:xfrm>
          <a:off x="9420225" y="439102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523875</xdr:colOff>
      <xdr:row>25</xdr:row>
      <xdr:rowOff>104775</xdr:rowOff>
    </xdr:from>
    <xdr:to>
      <xdr:col>19</xdr:col>
      <xdr:colOff>57150</xdr:colOff>
      <xdr:row>26</xdr:row>
      <xdr:rowOff>57150</xdr:rowOff>
    </xdr:to>
    <xdr:sp macro="" textlink="">
      <xdr:nvSpPr>
        <xdr:cNvPr id="44" name="Flowchart: Connector 43">
          <a:extLst>
            <a:ext uri="{FF2B5EF4-FFF2-40B4-BE49-F238E27FC236}">
              <a16:creationId xmlns:a16="http://schemas.microsoft.com/office/drawing/2014/main" xmlns="" id="{6926C5AF-6373-4760-9620-A5CA6DC0175C}"/>
            </a:ext>
          </a:extLst>
        </xdr:cNvPr>
        <xdr:cNvSpPr/>
      </xdr:nvSpPr>
      <xdr:spPr>
        <a:xfrm>
          <a:off x="11811000" y="486727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171450</xdr:colOff>
      <xdr:row>10</xdr:row>
      <xdr:rowOff>9525</xdr:rowOff>
    </xdr:from>
    <xdr:to>
      <xdr:col>11</xdr:col>
      <xdr:colOff>390525</xdr:colOff>
      <xdr:row>12</xdr:row>
      <xdr:rowOff>152400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xmlns="" id="{2E4D2FBF-FE6E-CA4B-00A2-35ABDC265843}"/>
            </a:ext>
          </a:extLst>
        </xdr:cNvPr>
        <xdr:cNvCxnSpPr/>
      </xdr:nvCxnSpPr>
      <xdr:spPr>
        <a:xfrm flipV="1">
          <a:off x="6581775" y="19145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409575</xdr:colOff>
      <xdr:row>10</xdr:row>
      <xdr:rowOff>123825</xdr:rowOff>
    </xdr:from>
    <xdr:to>
      <xdr:col>12</xdr:col>
      <xdr:colOff>19050</xdr:colOff>
      <xdr:row>13</xdr:row>
      <xdr:rowOff>76200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xmlns="" id="{CE946D23-A9B0-4CBB-898A-E255376019EA}"/>
            </a:ext>
          </a:extLst>
        </xdr:cNvPr>
        <xdr:cNvCxnSpPr/>
      </xdr:nvCxnSpPr>
      <xdr:spPr>
        <a:xfrm flipV="1">
          <a:off x="6819900" y="20288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561975</xdr:colOff>
      <xdr:row>11</xdr:row>
      <xdr:rowOff>85725</xdr:rowOff>
    </xdr:from>
    <xdr:to>
      <xdr:col>12</xdr:col>
      <xdr:colOff>171450</xdr:colOff>
      <xdr:row>14</xdr:row>
      <xdr:rowOff>38100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xmlns="" id="{8DD13E95-19A7-4AD2-945B-C9CABB928EB4}"/>
            </a:ext>
          </a:extLst>
        </xdr:cNvPr>
        <xdr:cNvCxnSpPr/>
      </xdr:nvCxnSpPr>
      <xdr:spPr>
        <a:xfrm flipV="1">
          <a:off x="6972300" y="21812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12</xdr:row>
      <xdr:rowOff>47625</xdr:rowOff>
    </xdr:from>
    <xdr:to>
      <xdr:col>12</xdr:col>
      <xdr:colOff>323850</xdr:colOff>
      <xdr:row>15</xdr:row>
      <xdr:rowOff>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xmlns="" id="{D48A4F49-D4B3-4496-AD8F-B9AA47C5BEB7}"/>
            </a:ext>
          </a:extLst>
        </xdr:cNvPr>
        <xdr:cNvCxnSpPr/>
      </xdr:nvCxnSpPr>
      <xdr:spPr>
        <a:xfrm flipV="1">
          <a:off x="7124700" y="23336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257175</xdr:colOff>
      <xdr:row>13</xdr:row>
      <xdr:rowOff>9525</xdr:rowOff>
    </xdr:from>
    <xdr:to>
      <xdr:col>12</xdr:col>
      <xdr:colOff>476250</xdr:colOff>
      <xdr:row>15</xdr:row>
      <xdr:rowOff>152400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xmlns="" id="{9202332B-D3AA-470C-A140-B9C463E8636C}"/>
            </a:ext>
          </a:extLst>
        </xdr:cNvPr>
        <xdr:cNvCxnSpPr/>
      </xdr:nvCxnSpPr>
      <xdr:spPr>
        <a:xfrm flipV="1">
          <a:off x="7277100" y="24860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409575</xdr:colOff>
      <xdr:row>13</xdr:row>
      <xdr:rowOff>161925</xdr:rowOff>
    </xdr:from>
    <xdr:to>
      <xdr:col>13</xdr:col>
      <xdr:colOff>19050</xdr:colOff>
      <xdr:row>16</xdr:row>
      <xdr:rowOff>114300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xmlns="" id="{99ACCF27-2C50-4F47-985A-7E94713941F7}"/>
            </a:ext>
          </a:extLst>
        </xdr:cNvPr>
        <xdr:cNvCxnSpPr/>
      </xdr:nvCxnSpPr>
      <xdr:spPr>
        <a:xfrm flipV="1">
          <a:off x="7429500" y="26384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600075</xdr:colOff>
      <xdr:row>14</xdr:row>
      <xdr:rowOff>95250</xdr:rowOff>
    </xdr:from>
    <xdr:to>
      <xdr:col>13</xdr:col>
      <xdr:colOff>209550</xdr:colOff>
      <xdr:row>17</xdr:row>
      <xdr:rowOff>47625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xmlns="" id="{E73A36F7-3E62-4907-AE4B-5726CFD9B847}"/>
            </a:ext>
          </a:extLst>
        </xdr:cNvPr>
        <xdr:cNvCxnSpPr/>
      </xdr:nvCxnSpPr>
      <xdr:spPr>
        <a:xfrm flipV="1">
          <a:off x="7620000" y="27622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161925</xdr:colOff>
      <xdr:row>15</xdr:row>
      <xdr:rowOff>38100</xdr:rowOff>
    </xdr:from>
    <xdr:to>
      <xdr:col>13</xdr:col>
      <xdr:colOff>381000</xdr:colOff>
      <xdr:row>17</xdr:row>
      <xdr:rowOff>180975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xmlns="" id="{E6CFBF0F-623E-4D58-98B0-DAE4A925260F}"/>
            </a:ext>
          </a:extLst>
        </xdr:cNvPr>
        <xdr:cNvCxnSpPr/>
      </xdr:nvCxnSpPr>
      <xdr:spPr>
        <a:xfrm flipV="1">
          <a:off x="7791450" y="28956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15</xdr:row>
      <xdr:rowOff>161925</xdr:rowOff>
    </xdr:from>
    <xdr:to>
      <xdr:col>13</xdr:col>
      <xdr:colOff>552450</xdr:colOff>
      <xdr:row>18</xdr:row>
      <xdr:rowOff>114300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xmlns="" id="{361EF149-9344-441F-ACC1-9450C3948649}"/>
            </a:ext>
          </a:extLst>
        </xdr:cNvPr>
        <xdr:cNvCxnSpPr/>
      </xdr:nvCxnSpPr>
      <xdr:spPr>
        <a:xfrm flipV="1">
          <a:off x="7962900" y="30194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523875</xdr:colOff>
      <xdr:row>16</xdr:row>
      <xdr:rowOff>95250</xdr:rowOff>
    </xdr:from>
    <xdr:to>
      <xdr:col>14</xdr:col>
      <xdr:colOff>133350</xdr:colOff>
      <xdr:row>19</xdr:row>
      <xdr:rowOff>47625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xmlns="" id="{E57A36F1-52E6-46AC-9446-ADC11653F608}"/>
            </a:ext>
          </a:extLst>
        </xdr:cNvPr>
        <xdr:cNvCxnSpPr/>
      </xdr:nvCxnSpPr>
      <xdr:spPr>
        <a:xfrm flipV="1">
          <a:off x="8153400" y="31432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76200</xdr:colOff>
      <xdr:row>17</xdr:row>
      <xdr:rowOff>76200</xdr:rowOff>
    </xdr:from>
    <xdr:to>
      <xdr:col>14</xdr:col>
      <xdr:colOff>295275</xdr:colOff>
      <xdr:row>20</xdr:row>
      <xdr:rowOff>28575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xmlns="" id="{3044AD06-52A3-4E17-BC88-51C51E76D2B3}"/>
            </a:ext>
          </a:extLst>
        </xdr:cNvPr>
        <xdr:cNvCxnSpPr/>
      </xdr:nvCxnSpPr>
      <xdr:spPr>
        <a:xfrm flipV="1">
          <a:off x="8315325" y="33147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18</xdr:row>
      <xdr:rowOff>28575</xdr:rowOff>
    </xdr:from>
    <xdr:to>
      <xdr:col>14</xdr:col>
      <xdr:colOff>495300</xdr:colOff>
      <xdr:row>20</xdr:row>
      <xdr:rowOff>171450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xmlns="" id="{CEDE7F33-FD19-4F99-B853-F6DAF434615D}"/>
            </a:ext>
          </a:extLst>
        </xdr:cNvPr>
        <xdr:cNvCxnSpPr/>
      </xdr:nvCxnSpPr>
      <xdr:spPr>
        <a:xfrm flipV="1">
          <a:off x="8515350" y="34575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18</xdr:row>
      <xdr:rowOff>180975</xdr:rowOff>
    </xdr:from>
    <xdr:to>
      <xdr:col>15</xdr:col>
      <xdr:colOff>38100</xdr:colOff>
      <xdr:row>21</xdr:row>
      <xdr:rowOff>133350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xmlns="" id="{6AFC8E69-A07D-416D-A1E7-EBBD0BC61BE4}"/>
            </a:ext>
          </a:extLst>
        </xdr:cNvPr>
        <xdr:cNvCxnSpPr/>
      </xdr:nvCxnSpPr>
      <xdr:spPr>
        <a:xfrm flipV="1">
          <a:off x="8667750" y="36099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47625</xdr:colOff>
      <xdr:row>19</xdr:row>
      <xdr:rowOff>76200</xdr:rowOff>
    </xdr:from>
    <xdr:to>
      <xdr:col>15</xdr:col>
      <xdr:colOff>266700</xdr:colOff>
      <xdr:row>22</xdr:row>
      <xdr:rowOff>28575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xmlns="" id="{1F5E2660-1BB7-4065-B8DD-ADED54AF6FF4}"/>
            </a:ext>
          </a:extLst>
        </xdr:cNvPr>
        <xdr:cNvCxnSpPr/>
      </xdr:nvCxnSpPr>
      <xdr:spPr>
        <a:xfrm flipV="1">
          <a:off x="8896350" y="36957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257175</xdr:colOff>
      <xdr:row>19</xdr:row>
      <xdr:rowOff>171450</xdr:rowOff>
    </xdr:from>
    <xdr:to>
      <xdr:col>15</xdr:col>
      <xdr:colOff>476250</xdr:colOff>
      <xdr:row>22</xdr:row>
      <xdr:rowOff>123825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xmlns="" id="{0A238BA5-4F08-4434-B6AB-1AAA930E5FDF}"/>
            </a:ext>
          </a:extLst>
        </xdr:cNvPr>
        <xdr:cNvCxnSpPr/>
      </xdr:nvCxnSpPr>
      <xdr:spPr>
        <a:xfrm flipV="1">
          <a:off x="9105900" y="37909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485775</xdr:colOff>
      <xdr:row>20</xdr:row>
      <xdr:rowOff>85725</xdr:rowOff>
    </xdr:from>
    <xdr:to>
      <xdr:col>16</xdr:col>
      <xdr:colOff>95250</xdr:colOff>
      <xdr:row>23</xdr:row>
      <xdr:rowOff>38100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xmlns="" id="{AC984517-8F61-4709-8656-393A2B9682E0}"/>
            </a:ext>
          </a:extLst>
        </xdr:cNvPr>
        <xdr:cNvCxnSpPr/>
      </xdr:nvCxnSpPr>
      <xdr:spPr>
        <a:xfrm flipV="1">
          <a:off x="9334500" y="38957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20</xdr:row>
      <xdr:rowOff>171450</xdr:rowOff>
    </xdr:from>
    <xdr:to>
      <xdr:col>16</xdr:col>
      <xdr:colOff>371475</xdr:colOff>
      <xdr:row>23</xdr:row>
      <xdr:rowOff>123825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xmlns="" id="{543C80C1-1A29-4C93-A554-1CA053F9E47D}"/>
            </a:ext>
          </a:extLst>
        </xdr:cNvPr>
        <xdr:cNvCxnSpPr/>
      </xdr:nvCxnSpPr>
      <xdr:spPr>
        <a:xfrm flipV="1">
          <a:off x="9610725" y="39814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409575</xdr:colOff>
      <xdr:row>21</xdr:row>
      <xdr:rowOff>19050</xdr:rowOff>
    </xdr:from>
    <xdr:to>
      <xdr:col>17</xdr:col>
      <xdr:colOff>19050</xdr:colOff>
      <xdr:row>23</xdr:row>
      <xdr:rowOff>161925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xmlns="" id="{FC2CB732-F26D-43ED-8839-483D3FB1DF82}"/>
            </a:ext>
          </a:extLst>
        </xdr:cNvPr>
        <xdr:cNvCxnSpPr/>
      </xdr:nvCxnSpPr>
      <xdr:spPr>
        <a:xfrm flipV="1">
          <a:off x="9867900" y="40195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57150</xdr:colOff>
      <xdr:row>21</xdr:row>
      <xdr:rowOff>85725</xdr:rowOff>
    </xdr:from>
    <xdr:to>
      <xdr:col>17</xdr:col>
      <xdr:colOff>276225</xdr:colOff>
      <xdr:row>24</xdr:row>
      <xdr:rowOff>38100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xmlns="" id="{894619E0-6E06-4A16-9103-BADF1F2A1054}"/>
            </a:ext>
          </a:extLst>
        </xdr:cNvPr>
        <xdr:cNvCxnSpPr/>
      </xdr:nvCxnSpPr>
      <xdr:spPr>
        <a:xfrm flipV="1">
          <a:off x="10125075" y="40862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361950</xdr:colOff>
      <xdr:row>21</xdr:row>
      <xdr:rowOff>123825</xdr:rowOff>
    </xdr:from>
    <xdr:to>
      <xdr:col>17</xdr:col>
      <xdr:colOff>581025</xdr:colOff>
      <xdr:row>24</xdr:row>
      <xdr:rowOff>76200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xmlns="" id="{A885AFE1-726F-4EF2-BF4F-943399A40C29}"/>
            </a:ext>
          </a:extLst>
        </xdr:cNvPr>
        <xdr:cNvCxnSpPr/>
      </xdr:nvCxnSpPr>
      <xdr:spPr>
        <a:xfrm flipV="1">
          <a:off x="10429875" y="41243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22</xdr:row>
      <xdr:rowOff>19050</xdr:rowOff>
    </xdr:from>
    <xdr:to>
      <xdr:col>18</xdr:col>
      <xdr:colOff>219075</xdr:colOff>
      <xdr:row>24</xdr:row>
      <xdr:rowOff>161925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xmlns="" id="{D9EB9AD5-E5AB-4DE5-96FE-F4914F118FFD}"/>
            </a:ext>
          </a:extLst>
        </xdr:cNvPr>
        <xdr:cNvCxnSpPr/>
      </xdr:nvCxnSpPr>
      <xdr:spPr>
        <a:xfrm flipV="1">
          <a:off x="10677525" y="42100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304800</xdr:colOff>
      <xdr:row>22</xdr:row>
      <xdr:rowOff>66675</xdr:rowOff>
    </xdr:from>
    <xdr:to>
      <xdr:col>18</xdr:col>
      <xdr:colOff>523875</xdr:colOff>
      <xdr:row>25</xdr:row>
      <xdr:rowOff>19050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xmlns="" id="{D650C675-7F6A-475D-854C-41CD9C266BC6}"/>
            </a:ext>
          </a:extLst>
        </xdr:cNvPr>
        <xdr:cNvCxnSpPr/>
      </xdr:nvCxnSpPr>
      <xdr:spPr>
        <a:xfrm flipV="1">
          <a:off x="10982325" y="42576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533400</xdr:colOff>
      <xdr:row>22</xdr:row>
      <xdr:rowOff>114300</xdr:rowOff>
    </xdr:from>
    <xdr:to>
      <xdr:col>19</xdr:col>
      <xdr:colOff>142875</xdr:colOff>
      <xdr:row>25</xdr:row>
      <xdr:rowOff>66675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xmlns="" id="{93C5B602-38E6-4642-B42A-180A20DBFAED}"/>
            </a:ext>
          </a:extLst>
        </xdr:cNvPr>
        <xdr:cNvCxnSpPr/>
      </xdr:nvCxnSpPr>
      <xdr:spPr>
        <a:xfrm flipV="1">
          <a:off x="11210925" y="430530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22</xdr:row>
      <xdr:rowOff>142875</xdr:rowOff>
    </xdr:from>
    <xdr:to>
      <xdr:col>19</xdr:col>
      <xdr:colOff>447675</xdr:colOff>
      <xdr:row>25</xdr:row>
      <xdr:rowOff>95250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xmlns="" id="{12C52500-ECC3-406D-A821-93EA4823E4A2}"/>
            </a:ext>
          </a:extLst>
        </xdr:cNvPr>
        <xdr:cNvCxnSpPr/>
      </xdr:nvCxnSpPr>
      <xdr:spPr>
        <a:xfrm flipV="1">
          <a:off x="11515725" y="43338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438150</xdr:colOff>
      <xdr:row>23</xdr:row>
      <xdr:rowOff>9525</xdr:rowOff>
    </xdr:from>
    <xdr:to>
      <xdr:col>20</xdr:col>
      <xdr:colOff>47625</xdr:colOff>
      <xdr:row>25</xdr:row>
      <xdr:rowOff>152400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xmlns="" id="{15987DFA-A930-42A0-844A-ECC20FE13453}"/>
            </a:ext>
          </a:extLst>
        </xdr:cNvPr>
        <xdr:cNvCxnSpPr/>
      </xdr:nvCxnSpPr>
      <xdr:spPr>
        <a:xfrm flipV="1">
          <a:off x="11725275" y="43910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8</xdr:row>
      <xdr:rowOff>171450</xdr:rowOff>
    </xdr:from>
    <xdr:to>
      <xdr:col>11</xdr:col>
      <xdr:colOff>104775</xdr:colOff>
      <xdr:row>11</xdr:row>
      <xdr:rowOff>123825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xmlns="" id="{A9841EB8-99C4-45F1-ADA4-D3B041C7B767}"/>
            </a:ext>
          </a:extLst>
        </xdr:cNvPr>
        <xdr:cNvCxnSpPr/>
      </xdr:nvCxnSpPr>
      <xdr:spPr>
        <a:xfrm flipV="1">
          <a:off x="6296025" y="16954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8</xdr:row>
      <xdr:rowOff>28575</xdr:rowOff>
    </xdr:from>
    <xdr:to>
      <xdr:col>10</xdr:col>
      <xdr:colOff>552450</xdr:colOff>
      <xdr:row>10</xdr:row>
      <xdr:rowOff>171450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xmlns="" id="{37718561-86EE-4D0A-9762-B80784996F7C}"/>
            </a:ext>
          </a:extLst>
        </xdr:cNvPr>
        <xdr:cNvCxnSpPr/>
      </xdr:nvCxnSpPr>
      <xdr:spPr>
        <a:xfrm flipV="1">
          <a:off x="6134100" y="155257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9</xdr:row>
      <xdr:rowOff>57150</xdr:rowOff>
    </xdr:from>
    <xdr:to>
      <xdr:col>11</xdr:col>
      <xdr:colOff>257175</xdr:colOff>
      <xdr:row>12</xdr:row>
      <xdr:rowOff>9525</xdr:rowOff>
    </xdr:to>
    <xdr:cxnSp macro="">
      <xdr:nvCxnSpPr>
        <xdr:cNvPr id="73" name="Straight Connector 72">
          <a:extLst>
            <a:ext uri="{FF2B5EF4-FFF2-40B4-BE49-F238E27FC236}">
              <a16:creationId xmlns:a16="http://schemas.microsoft.com/office/drawing/2014/main" xmlns="" id="{33CD65DE-6BB3-4AA1-B79F-7469D4772483}"/>
            </a:ext>
          </a:extLst>
        </xdr:cNvPr>
        <xdr:cNvCxnSpPr/>
      </xdr:nvCxnSpPr>
      <xdr:spPr>
        <a:xfrm flipV="1">
          <a:off x="6448425" y="1771650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161925</xdr:colOff>
      <xdr:row>7</xdr:row>
      <xdr:rowOff>123825</xdr:rowOff>
    </xdr:from>
    <xdr:to>
      <xdr:col>10</xdr:col>
      <xdr:colOff>381000</xdr:colOff>
      <xdr:row>10</xdr:row>
      <xdr:rowOff>76200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xmlns="" id="{4F8E28F0-17EC-4AFE-AB2C-D98E5F347F2E}"/>
            </a:ext>
          </a:extLst>
        </xdr:cNvPr>
        <xdr:cNvCxnSpPr/>
      </xdr:nvCxnSpPr>
      <xdr:spPr>
        <a:xfrm flipV="1">
          <a:off x="5962650" y="1457325"/>
          <a:ext cx="8286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571499</xdr:colOff>
      <xdr:row>19</xdr:row>
      <xdr:rowOff>114300</xdr:rowOff>
    </xdr:to>
    <xdr:sp macro="" textlink="">
      <xdr:nvSpPr>
        <xdr:cNvPr id="75" name="Rectangle 74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29</xdr:row>
      <xdr:rowOff>28575</xdr:rowOff>
    </xdr:from>
    <xdr:to>
      <xdr:col>9</xdr:col>
      <xdr:colOff>600074</xdr:colOff>
      <xdr:row>36</xdr:row>
      <xdr:rowOff>161925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xmlns="" id="{FC7901AE-3E1D-08F9-CE1C-B87C4DAF3261}"/>
            </a:ext>
          </a:extLst>
        </xdr:cNvPr>
        <xdr:cNvSpPr/>
      </xdr:nvSpPr>
      <xdr:spPr>
        <a:xfrm>
          <a:off x="5495925" y="5572125"/>
          <a:ext cx="1809749" cy="1466850"/>
        </a:xfrm>
        <a:custGeom>
          <a:avLst/>
          <a:gdLst>
            <a:gd name="connsiteX0" fmla="*/ 23438 w 1852238"/>
            <a:gd name="connsiteY0" fmla="*/ 1544783 h 1554308"/>
            <a:gd name="connsiteX1" fmla="*/ 13913 w 1852238"/>
            <a:gd name="connsiteY1" fmla="*/ 1287608 h 1554308"/>
            <a:gd name="connsiteX2" fmla="*/ 4388 w 1852238"/>
            <a:gd name="connsiteY2" fmla="*/ 1239983 h 1554308"/>
            <a:gd name="connsiteX3" fmla="*/ 23438 w 1852238"/>
            <a:gd name="connsiteY3" fmla="*/ 1049483 h 1554308"/>
            <a:gd name="connsiteX4" fmla="*/ 42488 w 1852238"/>
            <a:gd name="connsiteY4" fmla="*/ 887558 h 1554308"/>
            <a:gd name="connsiteX5" fmla="*/ 32963 w 1852238"/>
            <a:gd name="connsiteY5" fmla="*/ 801833 h 1554308"/>
            <a:gd name="connsiteX6" fmla="*/ 23438 w 1852238"/>
            <a:gd name="connsiteY6" fmla="*/ 763733 h 1554308"/>
            <a:gd name="connsiteX7" fmla="*/ 4388 w 1852238"/>
            <a:gd name="connsiteY7" fmla="*/ 96983 h 1554308"/>
            <a:gd name="connsiteX8" fmla="*/ 13913 w 1852238"/>
            <a:gd name="connsiteY8" fmla="*/ 1733 h 1554308"/>
            <a:gd name="connsiteX9" fmla="*/ 118688 w 1852238"/>
            <a:gd name="connsiteY9" fmla="*/ 58883 h 1554308"/>
            <a:gd name="connsiteX10" fmla="*/ 147263 w 1852238"/>
            <a:gd name="connsiteY10" fmla="*/ 68408 h 1554308"/>
            <a:gd name="connsiteX11" fmla="*/ 185363 w 1852238"/>
            <a:gd name="connsiteY11" fmla="*/ 87458 h 1554308"/>
            <a:gd name="connsiteX12" fmla="*/ 261563 w 1852238"/>
            <a:gd name="connsiteY12" fmla="*/ 106508 h 1554308"/>
            <a:gd name="connsiteX13" fmla="*/ 318713 w 1852238"/>
            <a:gd name="connsiteY13" fmla="*/ 135083 h 1554308"/>
            <a:gd name="connsiteX14" fmla="*/ 356813 w 1852238"/>
            <a:gd name="connsiteY14" fmla="*/ 144608 h 1554308"/>
            <a:gd name="connsiteX15" fmla="*/ 394913 w 1852238"/>
            <a:gd name="connsiteY15" fmla="*/ 173183 h 1554308"/>
            <a:gd name="connsiteX16" fmla="*/ 461588 w 1852238"/>
            <a:gd name="connsiteY16" fmla="*/ 182708 h 1554308"/>
            <a:gd name="connsiteX17" fmla="*/ 490163 w 1852238"/>
            <a:gd name="connsiteY17" fmla="*/ 192233 h 1554308"/>
            <a:gd name="connsiteX18" fmla="*/ 528263 w 1852238"/>
            <a:gd name="connsiteY18" fmla="*/ 201758 h 1554308"/>
            <a:gd name="connsiteX19" fmla="*/ 585413 w 1852238"/>
            <a:gd name="connsiteY19" fmla="*/ 220808 h 1554308"/>
            <a:gd name="connsiteX20" fmla="*/ 671138 w 1852238"/>
            <a:gd name="connsiteY20" fmla="*/ 258908 h 1554308"/>
            <a:gd name="connsiteX21" fmla="*/ 766388 w 1852238"/>
            <a:gd name="connsiteY21" fmla="*/ 277958 h 1554308"/>
            <a:gd name="connsiteX22" fmla="*/ 890213 w 1852238"/>
            <a:gd name="connsiteY22" fmla="*/ 297008 h 1554308"/>
            <a:gd name="connsiteX23" fmla="*/ 947363 w 1852238"/>
            <a:gd name="connsiteY23" fmla="*/ 306533 h 1554308"/>
            <a:gd name="connsiteX24" fmla="*/ 1052138 w 1852238"/>
            <a:gd name="connsiteY24" fmla="*/ 354158 h 1554308"/>
            <a:gd name="connsiteX25" fmla="*/ 1080713 w 1852238"/>
            <a:gd name="connsiteY25" fmla="*/ 363683 h 1554308"/>
            <a:gd name="connsiteX26" fmla="*/ 1118813 w 1852238"/>
            <a:gd name="connsiteY26" fmla="*/ 382733 h 1554308"/>
            <a:gd name="connsiteX27" fmla="*/ 1309313 w 1852238"/>
            <a:gd name="connsiteY27" fmla="*/ 449408 h 1554308"/>
            <a:gd name="connsiteX28" fmla="*/ 1347413 w 1852238"/>
            <a:gd name="connsiteY28" fmla="*/ 458933 h 1554308"/>
            <a:gd name="connsiteX29" fmla="*/ 1461713 w 1852238"/>
            <a:gd name="connsiteY29" fmla="*/ 506558 h 1554308"/>
            <a:gd name="connsiteX30" fmla="*/ 1614113 w 1852238"/>
            <a:gd name="connsiteY30" fmla="*/ 535133 h 1554308"/>
            <a:gd name="connsiteX31" fmla="*/ 1633163 w 1852238"/>
            <a:gd name="connsiteY31" fmla="*/ 563708 h 1554308"/>
            <a:gd name="connsiteX32" fmla="*/ 1699838 w 1852238"/>
            <a:gd name="connsiteY32" fmla="*/ 601808 h 1554308"/>
            <a:gd name="connsiteX33" fmla="*/ 1747463 w 1852238"/>
            <a:gd name="connsiteY33" fmla="*/ 687533 h 1554308"/>
            <a:gd name="connsiteX34" fmla="*/ 1804613 w 1852238"/>
            <a:gd name="connsiteY34" fmla="*/ 754208 h 1554308"/>
            <a:gd name="connsiteX35" fmla="*/ 1823663 w 1852238"/>
            <a:gd name="connsiteY35" fmla="*/ 782783 h 1554308"/>
            <a:gd name="connsiteX36" fmla="*/ 1852238 w 1852238"/>
            <a:gd name="connsiteY36" fmla="*/ 820883 h 1554308"/>
            <a:gd name="connsiteX37" fmla="*/ 1842713 w 1852238"/>
            <a:gd name="connsiteY37" fmla="*/ 1068533 h 1554308"/>
            <a:gd name="connsiteX38" fmla="*/ 1823663 w 1852238"/>
            <a:gd name="connsiteY38" fmla="*/ 1497158 h 1554308"/>
            <a:gd name="connsiteX39" fmla="*/ 1785563 w 1852238"/>
            <a:gd name="connsiteY39" fmla="*/ 1544783 h 1554308"/>
            <a:gd name="connsiteX40" fmla="*/ 1661738 w 1852238"/>
            <a:gd name="connsiteY40" fmla="*/ 1554308 h 1554308"/>
            <a:gd name="connsiteX41" fmla="*/ 23438 w 1852238"/>
            <a:gd name="connsiteY41" fmla="*/ 1544783 h 15543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</a:cxnLst>
          <a:rect l="l" t="t" r="r" b="b"/>
          <a:pathLst>
            <a:path w="1852238" h="1554308">
              <a:moveTo>
                <a:pt x="23438" y="1544783"/>
              </a:moveTo>
              <a:cubicBezTo>
                <a:pt x="20263" y="1459058"/>
                <a:pt x="19264" y="1373225"/>
                <a:pt x="13913" y="1287608"/>
              </a:cubicBezTo>
              <a:cubicBezTo>
                <a:pt x="12903" y="1271450"/>
                <a:pt x="4388" y="1256172"/>
                <a:pt x="4388" y="1239983"/>
              </a:cubicBezTo>
              <a:cubicBezTo>
                <a:pt x="4388" y="1121168"/>
                <a:pt x="14158" y="1142282"/>
                <a:pt x="23438" y="1049483"/>
              </a:cubicBezTo>
              <a:cubicBezTo>
                <a:pt x="39232" y="891548"/>
                <a:pt x="21258" y="972478"/>
                <a:pt x="42488" y="887558"/>
              </a:cubicBezTo>
              <a:cubicBezTo>
                <a:pt x="39313" y="858983"/>
                <a:pt x="37335" y="830250"/>
                <a:pt x="32963" y="801833"/>
              </a:cubicBezTo>
              <a:cubicBezTo>
                <a:pt x="30972" y="788894"/>
                <a:pt x="23882" y="776816"/>
                <a:pt x="23438" y="763733"/>
              </a:cubicBezTo>
              <a:cubicBezTo>
                <a:pt x="-5231" y="-82017"/>
                <a:pt x="30526" y="489047"/>
                <a:pt x="4388" y="96983"/>
              </a:cubicBezTo>
              <a:cubicBezTo>
                <a:pt x="7563" y="65233"/>
                <a:pt x="-12636" y="19433"/>
                <a:pt x="13913" y="1733"/>
              </a:cubicBezTo>
              <a:cubicBezTo>
                <a:pt x="32413" y="-10600"/>
                <a:pt x="93871" y="46475"/>
                <a:pt x="118688" y="58883"/>
              </a:cubicBezTo>
              <a:cubicBezTo>
                <a:pt x="127668" y="63373"/>
                <a:pt x="138035" y="64453"/>
                <a:pt x="147263" y="68408"/>
              </a:cubicBezTo>
              <a:cubicBezTo>
                <a:pt x="160314" y="74001"/>
                <a:pt x="171893" y="82968"/>
                <a:pt x="185363" y="87458"/>
              </a:cubicBezTo>
              <a:cubicBezTo>
                <a:pt x="210201" y="95737"/>
                <a:pt x="236725" y="98229"/>
                <a:pt x="261563" y="106508"/>
              </a:cubicBezTo>
              <a:cubicBezTo>
                <a:pt x="381970" y="146644"/>
                <a:pt x="189462" y="79690"/>
                <a:pt x="318713" y="135083"/>
              </a:cubicBezTo>
              <a:cubicBezTo>
                <a:pt x="330745" y="140240"/>
                <a:pt x="344113" y="141433"/>
                <a:pt x="356813" y="144608"/>
              </a:cubicBezTo>
              <a:cubicBezTo>
                <a:pt x="369513" y="154133"/>
                <a:pt x="379994" y="167758"/>
                <a:pt x="394913" y="173183"/>
              </a:cubicBezTo>
              <a:cubicBezTo>
                <a:pt x="416012" y="180855"/>
                <a:pt x="439573" y="178305"/>
                <a:pt x="461588" y="182708"/>
              </a:cubicBezTo>
              <a:cubicBezTo>
                <a:pt x="471433" y="184677"/>
                <a:pt x="480509" y="189475"/>
                <a:pt x="490163" y="192233"/>
              </a:cubicBezTo>
              <a:cubicBezTo>
                <a:pt x="502750" y="195829"/>
                <a:pt x="515724" y="197996"/>
                <a:pt x="528263" y="201758"/>
              </a:cubicBezTo>
              <a:cubicBezTo>
                <a:pt x="547497" y="207528"/>
                <a:pt x="566769" y="213350"/>
                <a:pt x="585413" y="220808"/>
              </a:cubicBezTo>
              <a:cubicBezTo>
                <a:pt x="628352" y="237984"/>
                <a:pt x="622918" y="246049"/>
                <a:pt x="671138" y="258908"/>
              </a:cubicBezTo>
              <a:cubicBezTo>
                <a:pt x="702424" y="267251"/>
                <a:pt x="734450" y="272635"/>
                <a:pt x="766388" y="277958"/>
              </a:cubicBezTo>
              <a:cubicBezTo>
                <a:pt x="908942" y="301717"/>
                <a:pt x="730882" y="272496"/>
                <a:pt x="890213" y="297008"/>
              </a:cubicBezTo>
              <a:cubicBezTo>
                <a:pt x="909301" y="299945"/>
                <a:pt x="928313" y="303358"/>
                <a:pt x="947363" y="306533"/>
              </a:cubicBezTo>
              <a:cubicBezTo>
                <a:pt x="1087457" y="362571"/>
                <a:pt x="889142" y="281715"/>
                <a:pt x="1052138" y="354158"/>
              </a:cubicBezTo>
              <a:cubicBezTo>
                <a:pt x="1061313" y="358236"/>
                <a:pt x="1071485" y="359728"/>
                <a:pt x="1080713" y="363683"/>
              </a:cubicBezTo>
              <a:cubicBezTo>
                <a:pt x="1093764" y="369276"/>
                <a:pt x="1105518" y="377747"/>
                <a:pt x="1118813" y="382733"/>
              </a:cubicBezTo>
              <a:cubicBezTo>
                <a:pt x="1181806" y="406356"/>
                <a:pt x="1244045" y="433091"/>
                <a:pt x="1309313" y="449408"/>
              </a:cubicBezTo>
              <a:cubicBezTo>
                <a:pt x="1322013" y="452583"/>
                <a:pt x="1335156" y="454336"/>
                <a:pt x="1347413" y="458933"/>
              </a:cubicBezTo>
              <a:cubicBezTo>
                <a:pt x="1386060" y="473426"/>
                <a:pt x="1420853" y="500721"/>
                <a:pt x="1461713" y="506558"/>
              </a:cubicBezTo>
              <a:cubicBezTo>
                <a:pt x="1557366" y="520223"/>
                <a:pt x="1506472" y="511213"/>
                <a:pt x="1614113" y="535133"/>
              </a:cubicBezTo>
              <a:cubicBezTo>
                <a:pt x="1620463" y="544658"/>
                <a:pt x="1624224" y="556557"/>
                <a:pt x="1633163" y="563708"/>
              </a:cubicBezTo>
              <a:cubicBezTo>
                <a:pt x="1705789" y="621809"/>
                <a:pt x="1607868" y="498341"/>
                <a:pt x="1699838" y="601808"/>
              </a:cubicBezTo>
              <a:cubicBezTo>
                <a:pt x="1793766" y="707477"/>
                <a:pt x="1708658" y="619624"/>
                <a:pt x="1747463" y="687533"/>
              </a:cubicBezTo>
              <a:cubicBezTo>
                <a:pt x="1773406" y="732933"/>
                <a:pt x="1773904" y="717357"/>
                <a:pt x="1804613" y="754208"/>
              </a:cubicBezTo>
              <a:cubicBezTo>
                <a:pt x="1811942" y="763002"/>
                <a:pt x="1817009" y="773468"/>
                <a:pt x="1823663" y="782783"/>
              </a:cubicBezTo>
              <a:cubicBezTo>
                <a:pt x="1832890" y="795701"/>
                <a:pt x="1842713" y="808183"/>
                <a:pt x="1852238" y="820883"/>
              </a:cubicBezTo>
              <a:cubicBezTo>
                <a:pt x="1849063" y="903433"/>
                <a:pt x="1846200" y="985996"/>
                <a:pt x="1842713" y="1068533"/>
              </a:cubicBezTo>
              <a:cubicBezTo>
                <a:pt x="1836675" y="1211422"/>
                <a:pt x="1832584" y="1354420"/>
                <a:pt x="1823663" y="1497158"/>
              </a:cubicBezTo>
              <a:cubicBezTo>
                <a:pt x="1822306" y="1518863"/>
                <a:pt x="1809051" y="1540379"/>
                <a:pt x="1785563" y="1544783"/>
              </a:cubicBezTo>
              <a:cubicBezTo>
                <a:pt x="1744875" y="1552412"/>
                <a:pt x="1703134" y="1554081"/>
                <a:pt x="1661738" y="1554308"/>
              </a:cubicBezTo>
              <a:lnTo>
                <a:pt x="23438" y="1544783"/>
              </a:lnTo>
              <a:close/>
            </a:path>
          </a:pathLst>
        </a:cu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0</xdr:colOff>
      <xdr:row>19</xdr:row>
      <xdr:rowOff>47625</xdr:rowOff>
    </xdr:from>
    <xdr:to>
      <xdr:col>7</xdr:col>
      <xdr:colOff>19050</xdr:colOff>
      <xdr:row>37</xdr:row>
      <xdr:rowOff>38100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10A7AE20-959C-4607-9A76-E0769BB6B8B2}"/>
            </a:ext>
          </a:extLst>
        </xdr:cNvPr>
        <xdr:cNvCxnSpPr/>
      </xdr:nvCxnSpPr>
      <xdr:spPr>
        <a:xfrm flipV="1">
          <a:off x="5486400" y="3686175"/>
          <a:ext cx="19050" cy="34194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37</xdr:row>
      <xdr:rowOff>9525</xdr:rowOff>
    </xdr:from>
    <xdr:to>
      <xdr:col>15</xdr:col>
      <xdr:colOff>400050</xdr:colOff>
      <xdr:row>37</xdr:row>
      <xdr:rowOff>9525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E844F8A4-D6CC-4A4C-8782-64CE12FBFD2D}"/>
            </a:ext>
          </a:extLst>
        </xdr:cNvPr>
        <xdr:cNvCxnSpPr/>
      </xdr:nvCxnSpPr>
      <xdr:spPr>
        <a:xfrm>
          <a:off x="5486400" y="7077075"/>
          <a:ext cx="52768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27</xdr:row>
      <xdr:rowOff>171450</xdr:rowOff>
    </xdr:from>
    <xdr:to>
      <xdr:col>16</xdr:col>
      <xdr:colOff>19050</xdr:colOff>
      <xdr:row>38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C7F92377-2F7F-4AFD-A4EC-938B958903F1}"/>
            </a:ext>
          </a:extLst>
        </xdr:cNvPr>
        <xdr:cNvCxnSpPr/>
      </xdr:nvCxnSpPr>
      <xdr:spPr>
        <a:xfrm>
          <a:off x="4867275" y="5334000"/>
          <a:ext cx="6124575" cy="1933575"/>
        </a:xfrm>
        <a:prstGeom prst="line">
          <a:avLst/>
        </a:prstGeom>
        <a:ln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307803</xdr:colOff>
      <xdr:row>29</xdr:row>
      <xdr:rowOff>172281</xdr:rowOff>
    </xdr:from>
    <xdr:to>
      <xdr:col>7</xdr:col>
      <xdr:colOff>603426</xdr:colOff>
      <xdr:row>30</xdr:row>
      <xdr:rowOff>181795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xmlns="" id="{12F68B75-D286-4240-BB86-0241656F9134}"/>
            </a:ext>
          </a:extLst>
        </xdr:cNvPr>
        <xdr:cNvSpPr/>
      </xdr:nvSpPr>
      <xdr:spPr>
        <a:xfrm rot="1194743" flipH="1">
          <a:off x="5794203" y="5715831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603077</xdr:colOff>
      <xdr:row>35</xdr:row>
      <xdr:rowOff>77031</xdr:rowOff>
    </xdr:from>
    <xdr:to>
      <xdr:col>13</xdr:col>
      <xdr:colOff>289100</xdr:colOff>
      <xdr:row>36</xdr:row>
      <xdr:rowOff>86545</xdr:rowOff>
    </xdr:to>
    <xdr:sp macro="" textlink="">
      <xdr:nvSpPr>
        <xdr:cNvPr id="17" name="Arrow: Down 16">
          <a:extLst>
            <a:ext uri="{FF2B5EF4-FFF2-40B4-BE49-F238E27FC236}">
              <a16:creationId xmlns:a16="http://schemas.microsoft.com/office/drawing/2014/main" xmlns="" id="{DA80F2B4-16E7-41DC-AF0B-320CD02BB0F1}"/>
            </a:ext>
          </a:extLst>
        </xdr:cNvPr>
        <xdr:cNvSpPr/>
      </xdr:nvSpPr>
      <xdr:spPr>
        <a:xfrm rot="1194743" flipH="1">
          <a:off x="9137477" y="6763581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400050</xdr:colOff>
      <xdr:row>19</xdr:row>
      <xdr:rowOff>85725</xdr:rowOff>
    </xdr:from>
    <xdr:to>
      <xdr:col>11</xdr:col>
      <xdr:colOff>200025</xdr:colOff>
      <xdr:row>38</xdr:row>
      <xdr:rowOff>57150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xmlns="" id="{018EC00E-9F9D-4FBF-9CBD-1F51CBDF4E91}"/>
            </a:ext>
          </a:extLst>
        </xdr:cNvPr>
        <xdr:cNvCxnSpPr/>
      </xdr:nvCxnSpPr>
      <xdr:spPr>
        <a:xfrm>
          <a:off x="5248275" y="3724275"/>
          <a:ext cx="2876550" cy="3590925"/>
        </a:xfrm>
        <a:prstGeom prst="line">
          <a:avLst/>
        </a:prstGeom>
        <a:ln w="127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260357</xdr:colOff>
      <xdr:row>23</xdr:row>
      <xdr:rowOff>105425</xdr:rowOff>
    </xdr:from>
    <xdr:to>
      <xdr:col>7</xdr:col>
      <xdr:colOff>460371</xdr:colOff>
      <xdr:row>25</xdr:row>
      <xdr:rowOff>20048</xdr:rowOff>
    </xdr:to>
    <xdr:sp macro="" textlink="">
      <xdr:nvSpPr>
        <xdr:cNvPr id="21" name="Arrow: Down 20">
          <a:extLst>
            <a:ext uri="{FF2B5EF4-FFF2-40B4-BE49-F238E27FC236}">
              <a16:creationId xmlns:a16="http://schemas.microsoft.com/office/drawing/2014/main" xmlns="" id="{55A12E4B-7D6F-4D92-BC16-6DC8ABA5393D}"/>
            </a:ext>
          </a:extLst>
        </xdr:cNvPr>
        <xdr:cNvSpPr/>
      </xdr:nvSpPr>
      <xdr:spPr>
        <a:xfrm rot="2913641" flipH="1">
          <a:off x="5698952" y="4553780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222257</xdr:colOff>
      <xdr:row>35</xdr:row>
      <xdr:rowOff>67324</xdr:rowOff>
    </xdr:from>
    <xdr:to>
      <xdr:col>10</xdr:col>
      <xdr:colOff>422271</xdr:colOff>
      <xdr:row>36</xdr:row>
      <xdr:rowOff>172447</xdr:rowOff>
    </xdr:to>
    <xdr:sp macro="" textlink="">
      <xdr:nvSpPr>
        <xdr:cNvPr id="22" name="Arrow: Down 21">
          <a:extLst>
            <a:ext uri="{FF2B5EF4-FFF2-40B4-BE49-F238E27FC236}">
              <a16:creationId xmlns:a16="http://schemas.microsoft.com/office/drawing/2014/main" xmlns="" id="{112CB91D-880F-4B93-8AEA-4575EAB5D233}"/>
            </a:ext>
          </a:extLst>
        </xdr:cNvPr>
        <xdr:cNvSpPr/>
      </xdr:nvSpPr>
      <xdr:spPr>
        <a:xfrm rot="2913641" flipH="1">
          <a:off x="7489652" y="6801679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152400</xdr:colOff>
      <xdr:row>23</xdr:row>
      <xdr:rowOff>66675</xdr:rowOff>
    </xdr:from>
    <xdr:to>
      <xdr:col>13</xdr:col>
      <xdr:colOff>381000</xdr:colOff>
      <xdr:row>38</xdr:row>
      <xdr:rowOff>57150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xmlns="" id="{2862E730-F125-46D2-9A85-95C91D817C36}"/>
            </a:ext>
          </a:extLst>
        </xdr:cNvPr>
        <xdr:cNvCxnSpPr/>
      </xdr:nvCxnSpPr>
      <xdr:spPr>
        <a:xfrm>
          <a:off x="5000625" y="4467225"/>
          <a:ext cx="4524375" cy="2847975"/>
        </a:xfrm>
        <a:prstGeom prst="line">
          <a:avLst/>
        </a:prstGeom>
        <a:ln/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277576</xdr:colOff>
      <xdr:row>34</xdr:row>
      <xdr:rowOff>101136</xdr:rowOff>
    </xdr:from>
    <xdr:to>
      <xdr:col>11</xdr:col>
      <xdr:colOff>497160</xdr:colOff>
      <xdr:row>35</xdr:row>
      <xdr:rowOff>106597</xdr:rowOff>
    </xdr:to>
    <xdr:sp macro="" textlink="">
      <xdr:nvSpPr>
        <xdr:cNvPr id="26" name="Arrow: Down 25">
          <a:extLst>
            <a:ext uri="{FF2B5EF4-FFF2-40B4-BE49-F238E27FC236}">
              <a16:creationId xmlns:a16="http://schemas.microsoft.com/office/drawing/2014/main" xmlns="" id="{3D7279D5-EA62-4690-B901-4B3D65489EE0}"/>
            </a:ext>
          </a:extLst>
        </xdr:cNvPr>
        <xdr:cNvSpPr/>
      </xdr:nvSpPr>
      <xdr:spPr>
        <a:xfrm rot="2079885" flipH="1">
          <a:off x="8202376" y="6597186"/>
          <a:ext cx="219584" cy="19596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363301</xdr:colOff>
      <xdr:row>26</xdr:row>
      <xdr:rowOff>177336</xdr:rowOff>
    </xdr:from>
    <xdr:to>
      <xdr:col>7</xdr:col>
      <xdr:colOff>582885</xdr:colOff>
      <xdr:row>27</xdr:row>
      <xdr:rowOff>182797</xdr:rowOff>
    </xdr:to>
    <xdr:sp macro="" textlink="">
      <xdr:nvSpPr>
        <xdr:cNvPr id="27" name="Arrow: Down 26">
          <a:extLst>
            <a:ext uri="{FF2B5EF4-FFF2-40B4-BE49-F238E27FC236}">
              <a16:creationId xmlns:a16="http://schemas.microsoft.com/office/drawing/2014/main" xmlns="" id="{988CE8CF-40D3-4371-BF8C-03ADF8423E66}"/>
            </a:ext>
          </a:extLst>
        </xdr:cNvPr>
        <xdr:cNvSpPr/>
      </xdr:nvSpPr>
      <xdr:spPr>
        <a:xfrm rot="2079885" flipH="1">
          <a:off x="5849701" y="5149386"/>
          <a:ext cx="219584" cy="19596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20</xdr:row>
      <xdr:rowOff>66675</xdr:rowOff>
    </xdr:from>
    <xdr:to>
      <xdr:col>10</xdr:col>
      <xdr:colOff>9525</xdr:colOff>
      <xdr:row>38</xdr:row>
      <xdr:rowOff>133350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xmlns="" id="{F3DB4CDA-2F2A-4D6B-9A54-0A5CC373855B}"/>
            </a:ext>
          </a:extLst>
        </xdr:cNvPr>
        <xdr:cNvCxnSpPr/>
      </xdr:nvCxnSpPr>
      <xdr:spPr>
        <a:xfrm flipH="1">
          <a:off x="7315200" y="3895725"/>
          <a:ext cx="9525" cy="34956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28</xdr:row>
      <xdr:rowOff>114300</xdr:rowOff>
    </xdr:from>
    <xdr:to>
      <xdr:col>7</xdr:col>
      <xdr:colOff>66675</xdr:colOff>
      <xdr:row>29</xdr:row>
      <xdr:rowOff>66675</xdr:rowOff>
    </xdr:to>
    <xdr:sp macro="" textlink="">
      <xdr:nvSpPr>
        <xdr:cNvPr id="32" name="Flowchart: Connector 31">
          <a:extLst>
            <a:ext uri="{FF2B5EF4-FFF2-40B4-BE49-F238E27FC236}">
              <a16:creationId xmlns:a16="http://schemas.microsoft.com/office/drawing/2014/main" xmlns="" id="{E0A9E48D-BD08-4798-BA4A-622115EEE232}"/>
            </a:ext>
          </a:extLst>
        </xdr:cNvPr>
        <xdr:cNvSpPr/>
      </xdr:nvSpPr>
      <xdr:spPr>
        <a:xfrm>
          <a:off x="5410200" y="546735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374657</xdr:colOff>
      <xdr:row>33</xdr:row>
      <xdr:rowOff>48273</xdr:rowOff>
    </xdr:from>
    <xdr:to>
      <xdr:col>9</xdr:col>
      <xdr:colOff>574671</xdr:colOff>
      <xdr:row>34</xdr:row>
      <xdr:rowOff>153396</xdr:rowOff>
    </xdr:to>
    <xdr:sp macro="" textlink="">
      <xdr:nvSpPr>
        <xdr:cNvPr id="33" name="Arrow: Down 32">
          <a:extLst>
            <a:ext uri="{FF2B5EF4-FFF2-40B4-BE49-F238E27FC236}">
              <a16:creationId xmlns:a16="http://schemas.microsoft.com/office/drawing/2014/main" xmlns="" id="{7BA8D8CA-6F29-4931-B4FE-D774F7D41C5A}"/>
            </a:ext>
          </a:extLst>
        </xdr:cNvPr>
        <xdr:cNvSpPr/>
      </xdr:nvSpPr>
      <xdr:spPr>
        <a:xfrm rot="5400000" flipH="1">
          <a:off x="7032452" y="6401628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22232</xdr:colOff>
      <xdr:row>32</xdr:row>
      <xdr:rowOff>172098</xdr:rowOff>
    </xdr:from>
    <xdr:to>
      <xdr:col>7</xdr:col>
      <xdr:colOff>222246</xdr:colOff>
      <xdr:row>34</xdr:row>
      <xdr:rowOff>86721</xdr:rowOff>
    </xdr:to>
    <xdr:sp macro="" textlink="">
      <xdr:nvSpPr>
        <xdr:cNvPr id="34" name="Arrow: Down 33">
          <a:extLst>
            <a:ext uri="{FF2B5EF4-FFF2-40B4-BE49-F238E27FC236}">
              <a16:creationId xmlns:a16="http://schemas.microsoft.com/office/drawing/2014/main" xmlns="" id="{B6E14A54-B82C-49AA-9FA4-533B6EE7EB43}"/>
            </a:ext>
          </a:extLst>
        </xdr:cNvPr>
        <xdr:cNvSpPr/>
      </xdr:nvSpPr>
      <xdr:spPr>
        <a:xfrm rot="15990531" flipH="1">
          <a:off x="5460827" y="6334953"/>
          <a:ext cx="295623" cy="2000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523457</xdr:colOff>
      <xdr:row>35</xdr:row>
      <xdr:rowOff>123824</xdr:rowOff>
    </xdr:from>
    <xdr:to>
      <xdr:col>8</xdr:col>
      <xdr:colOff>152400</xdr:colOff>
      <xdr:row>36</xdr:row>
      <xdr:rowOff>185498</xdr:rowOff>
    </xdr:to>
    <xdr:sp macro="" textlink="">
      <xdr:nvSpPr>
        <xdr:cNvPr id="35" name="Arrow: Down 34">
          <a:extLst>
            <a:ext uri="{FF2B5EF4-FFF2-40B4-BE49-F238E27FC236}">
              <a16:creationId xmlns:a16="http://schemas.microsoft.com/office/drawing/2014/main" xmlns="" id="{F253592A-C20F-4499-A60F-69BCB39F865D}"/>
            </a:ext>
          </a:extLst>
        </xdr:cNvPr>
        <xdr:cNvSpPr/>
      </xdr:nvSpPr>
      <xdr:spPr>
        <a:xfrm rot="10800000" flipH="1">
          <a:off x="6009857" y="6810374"/>
          <a:ext cx="238543" cy="25217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295275</xdr:colOff>
      <xdr:row>31</xdr:row>
      <xdr:rowOff>28575</xdr:rowOff>
    </xdr:from>
    <xdr:to>
      <xdr:col>9</xdr:col>
      <xdr:colOff>438150</xdr:colOff>
      <xdr:row>31</xdr:row>
      <xdr:rowOff>171450</xdr:rowOff>
    </xdr:to>
    <xdr:sp macro="" textlink="">
      <xdr:nvSpPr>
        <xdr:cNvPr id="36" name="Flowchart: Connector 35">
          <a:extLst>
            <a:ext uri="{FF2B5EF4-FFF2-40B4-BE49-F238E27FC236}">
              <a16:creationId xmlns:a16="http://schemas.microsoft.com/office/drawing/2014/main" xmlns="" id="{35D5C947-F0AF-4FA3-984A-48EF0772A01C}"/>
            </a:ext>
          </a:extLst>
        </xdr:cNvPr>
        <xdr:cNvSpPr/>
      </xdr:nvSpPr>
      <xdr:spPr>
        <a:xfrm>
          <a:off x="7115175" y="5953125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542925</xdr:colOff>
      <xdr:row>32</xdr:row>
      <xdr:rowOff>133350</xdr:rowOff>
    </xdr:from>
    <xdr:to>
      <xdr:col>10</xdr:col>
      <xdr:colOff>76200</xdr:colOff>
      <xdr:row>33</xdr:row>
      <xdr:rowOff>85725</xdr:rowOff>
    </xdr:to>
    <xdr:sp macro="" textlink="">
      <xdr:nvSpPr>
        <xdr:cNvPr id="37" name="Flowchart: Connector 36">
          <a:extLst>
            <a:ext uri="{FF2B5EF4-FFF2-40B4-BE49-F238E27FC236}">
              <a16:creationId xmlns:a16="http://schemas.microsoft.com/office/drawing/2014/main" xmlns="" id="{BD02F835-6C1D-4654-9F3C-DC75A840D9E5}"/>
            </a:ext>
          </a:extLst>
        </xdr:cNvPr>
        <xdr:cNvSpPr/>
      </xdr:nvSpPr>
      <xdr:spPr>
        <a:xfrm>
          <a:off x="7248525" y="624840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542925</xdr:colOff>
      <xdr:row>36</xdr:row>
      <xdr:rowOff>114300</xdr:rowOff>
    </xdr:from>
    <xdr:to>
      <xdr:col>10</xdr:col>
      <xdr:colOff>76200</xdr:colOff>
      <xdr:row>37</xdr:row>
      <xdr:rowOff>66675</xdr:rowOff>
    </xdr:to>
    <xdr:sp macro="" textlink="">
      <xdr:nvSpPr>
        <xdr:cNvPr id="38" name="Flowchart: Connector 37">
          <a:extLst>
            <a:ext uri="{FF2B5EF4-FFF2-40B4-BE49-F238E27FC236}">
              <a16:creationId xmlns:a16="http://schemas.microsoft.com/office/drawing/2014/main" xmlns="" id="{8A6E1CED-70F9-4974-87FA-0252F4660F50}"/>
            </a:ext>
          </a:extLst>
        </xdr:cNvPr>
        <xdr:cNvSpPr/>
      </xdr:nvSpPr>
      <xdr:spPr>
        <a:xfrm>
          <a:off x="7248525" y="6991350"/>
          <a:ext cx="142875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476249</xdr:colOff>
      <xdr:row>19</xdr:row>
      <xdr:rowOff>95250</xdr:rowOff>
    </xdr:to>
    <xdr:sp macro="" textlink="">
      <xdr:nvSpPr>
        <xdr:cNvPr id="24" name="Rectangle 2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971551</xdr:colOff>
      <xdr:row>27</xdr:row>
      <xdr:rowOff>133349</xdr:rowOff>
    </xdr:from>
    <xdr:to>
      <xdr:col>2</xdr:col>
      <xdr:colOff>542926</xdr:colOff>
      <xdr:row>28</xdr:row>
      <xdr:rowOff>161924</xdr:rowOff>
    </xdr:to>
    <xdr:cxnSp macro="">
      <xdr:nvCxnSpPr>
        <xdr:cNvPr id="3" name="Connector: Curved 2">
          <a:extLst>
            <a:ext uri="{FF2B5EF4-FFF2-40B4-BE49-F238E27FC236}">
              <a16:creationId xmlns:a16="http://schemas.microsoft.com/office/drawing/2014/main" xmlns="" id="{80565BC6-23C5-7A20-A993-08A18ECE947A}"/>
            </a:ext>
          </a:extLst>
        </xdr:cNvPr>
        <xdr:cNvCxnSpPr/>
      </xdr:nvCxnSpPr>
      <xdr:spPr>
        <a:xfrm rot="10800000" flipV="1">
          <a:off x="2066926" y="5295899"/>
          <a:ext cx="733425" cy="219075"/>
        </a:xfrm>
        <a:prstGeom prst="curved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981075</xdr:colOff>
      <xdr:row>27</xdr:row>
      <xdr:rowOff>123822</xdr:rowOff>
    </xdr:from>
    <xdr:to>
      <xdr:col>3</xdr:col>
      <xdr:colOff>533402</xdr:colOff>
      <xdr:row>29</xdr:row>
      <xdr:rowOff>152399</xdr:rowOff>
    </xdr:to>
    <xdr:cxnSp macro="">
      <xdr:nvCxnSpPr>
        <xdr:cNvPr id="4" name="Connector: Curved 3">
          <a:extLst>
            <a:ext uri="{FF2B5EF4-FFF2-40B4-BE49-F238E27FC236}">
              <a16:creationId xmlns:a16="http://schemas.microsoft.com/office/drawing/2014/main" xmlns="" id="{31B686C8-5879-4D2E-98D0-34F0CA0DEC8F}"/>
            </a:ext>
          </a:extLst>
        </xdr:cNvPr>
        <xdr:cNvCxnSpPr/>
      </xdr:nvCxnSpPr>
      <xdr:spPr>
        <a:xfrm rot="10800000" flipV="1">
          <a:off x="2076450" y="5286372"/>
          <a:ext cx="1657352" cy="409577"/>
        </a:xfrm>
        <a:prstGeom prst="curved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628654</xdr:colOff>
      <xdr:row>25</xdr:row>
      <xdr:rowOff>295274</xdr:rowOff>
    </xdr:from>
    <xdr:to>
      <xdr:col>2</xdr:col>
      <xdr:colOff>628650</xdr:colOff>
      <xdr:row>26</xdr:row>
      <xdr:rowOff>114297</xdr:rowOff>
    </xdr:to>
    <xdr:cxnSp macro="">
      <xdr:nvCxnSpPr>
        <xdr:cNvPr id="6" name="Connector: Curved 5">
          <a:extLst>
            <a:ext uri="{FF2B5EF4-FFF2-40B4-BE49-F238E27FC236}">
              <a16:creationId xmlns:a16="http://schemas.microsoft.com/office/drawing/2014/main" xmlns="" id="{FD23FF1E-8DF7-4252-BC76-013E3C90C7BB}"/>
            </a:ext>
          </a:extLst>
        </xdr:cNvPr>
        <xdr:cNvCxnSpPr/>
      </xdr:nvCxnSpPr>
      <xdr:spPr>
        <a:xfrm rot="10800000" flipV="1">
          <a:off x="1619254" y="5086349"/>
          <a:ext cx="761996" cy="200023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638178</xdr:colOff>
      <xdr:row>25</xdr:row>
      <xdr:rowOff>304799</xdr:rowOff>
    </xdr:from>
    <xdr:to>
      <xdr:col>3</xdr:col>
      <xdr:colOff>609601</xdr:colOff>
      <xdr:row>27</xdr:row>
      <xdr:rowOff>123824</xdr:rowOff>
    </xdr:to>
    <xdr:cxnSp macro="">
      <xdr:nvCxnSpPr>
        <xdr:cNvPr id="7" name="Connector: Curved 6">
          <a:extLst>
            <a:ext uri="{FF2B5EF4-FFF2-40B4-BE49-F238E27FC236}">
              <a16:creationId xmlns:a16="http://schemas.microsoft.com/office/drawing/2014/main" xmlns="" id="{D2E334F0-3A28-4248-8477-7F1DC4263E82}"/>
            </a:ext>
          </a:extLst>
        </xdr:cNvPr>
        <xdr:cNvCxnSpPr/>
      </xdr:nvCxnSpPr>
      <xdr:spPr>
        <a:xfrm rot="10800000" flipV="1">
          <a:off x="1628778" y="5095874"/>
          <a:ext cx="1457323" cy="390525"/>
        </a:xfrm>
        <a:prstGeom prst="curved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371474</xdr:colOff>
      <xdr:row>19</xdr:row>
      <xdr:rowOff>95250</xdr:rowOff>
    </xdr:to>
    <xdr:sp macro="" textlink="">
      <xdr:nvSpPr>
        <xdr:cNvPr id="8" name="Rectangle 7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304799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19049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57149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19049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304799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419099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171450</xdr:rowOff>
    </xdr:from>
    <xdr:to>
      <xdr:col>3</xdr:col>
      <xdr:colOff>600075</xdr:colOff>
      <xdr:row>14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D01F48E8-7610-93EF-09B6-BF006ADEFA06}"/>
            </a:ext>
          </a:extLst>
        </xdr:cNvPr>
        <xdr:cNvSpPr/>
      </xdr:nvSpPr>
      <xdr:spPr>
        <a:xfrm>
          <a:off x="1209675" y="1885950"/>
          <a:ext cx="1219200" cy="866775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800"/>
            <a:t>Crude Oil</a:t>
          </a:r>
        </a:p>
      </xdr:txBody>
    </xdr:sp>
    <xdr:clientData/>
  </xdr:twoCellAnchor>
  <xdr:twoCellAnchor>
    <xdr:from>
      <xdr:col>2</xdr:col>
      <xdr:colOff>438150</xdr:colOff>
      <xdr:row>5</xdr:row>
      <xdr:rowOff>152400</xdr:rowOff>
    </xdr:from>
    <xdr:to>
      <xdr:col>6</xdr:col>
      <xdr:colOff>9525</xdr:colOff>
      <xdr:row>11</xdr:row>
      <xdr:rowOff>28575</xdr:rowOff>
    </xdr:to>
    <xdr:sp macro="" textlink="">
      <xdr:nvSpPr>
        <xdr:cNvPr id="3" name="Arrow: Bent 2">
          <a:extLst>
            <a:ext uri="{FF2B5EF4-FFF2-40B4-BE49-F238E27FC236}">
              <a16:creationId xmlns:a16="http://schemas.microsoft.com/office/drawing/2014/main" xmlns="" id="{A677EA2E-72C3-8A30-B7B8-732D074B4783}"/>
            </a:ext>
          </a:extLst>
        </xdr:cNvPr>
        <xdr:cNvSpPr/>
      </xdr:nvSpPr>
      <xdr:spPr>
        <a:xfrm>
          <a:off x="1657350" y="1104900"/>
          <a:ext cx="2009775" cy="101917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3</xdr:row>
      <xdr:rowOff>123826</xdr:rowOff>
    </xdr:from>
    <xdr:to>
      <xdr:col>9</xdr:col>
      <xdr:colOff>285750</xdr:colOff>
      <xdr:row>10</xdr:row>
      <xdr:rowOff>104776</xdr:rowOff>
    </xdr:to>
    <xdr:sp macro="" textlink="">
      <xdr:nvSpPr>
        <xdr:cNvPr id="4" name="Rectangle: Beveled 3">
          <a:extLst>
            <a:ext uri="{FF2B5EF4-FFF2-40B4-BE49-F238E27FC236}">
              <a16:creationId xmlns:a16="http://schemas.microsoft.com/office/drawing/2014/main" xmlns="" id="{4224AA75-A659-297C-CE89-B122F0212543}"/>
            </a:ext>
          </a:extLst>
        </xdr:cNvPr>
        <xdr:cNvSpPr/>
      </xdr:nvSpPr>
      <xdr:spPr>
        <a:xfrm>
          <a:off x="3695700" y="695326"/>
          <a:ext cx="2076450" cy="131445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Common Process / Joint cost</a:t>
          </a:r>
        </a:p>
      </xdr:txBody>
    </xdr:sp>
    <xdr:clientData/>
  </xdr:twoCellAnchor>
  <xdr:twoCellAnchor>
    <xdr:from>
      <xdr:col>9</xdr:col>
      <xdr:colOff>514350</xdr:colOff>
      <xdr:row>5</xdr:row>
      <xdr:rowOff>38100</xdr:rowOff>
    </xdr:from>
    <xdr:to>
      <xdr:col>11</xdr:col>
      <xdr:colOff>590550</xdr:colOff>
      <xdr:row>5</xdr:row>
      <xdr:rowOff>152400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xmlns="" id="{B1E93C18-ED4D-1BE4-817D-0638BF29B240}"/>
            </a:ext>
          </a:extLst>
        </xdr:cNvPr>
        <xdr:cNvSpPr/>
      </xdr:nvSpPr>
      <xdr:spPr>
        <a:xfrm>
          <a:off x="6000750" y="990600"/>
          <a:ext cx="12954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495300</xdr:colOff>
      <xdr:row>7</xdr:row>
      <xdr:rowOff>0</xdr:rowOff>
    </xdr:from>
    <xdr:to>
      <xdr:col>11</xdr:col>
      <xdr:colOff>571500</xdr:colOff>
      <xdr:row>7</xdr:row>
      <xdr:rowOff>114300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xmlns="" id="{A05FBFBB-F666-4445-85A9-BBCD7C12CE0F}"/>
            </a:ext>
          </a:extLst>
        </xdr:cNvPr>
        <xdr:cNvSpPr/>
      </xdr:nvSpPr>
      <xdr:spPr>
        <a:xfrm>
          <a:off x="5981700" y="1333500"/>
          <a:ext cx="12954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495300</xdr:colOff>
      <xdr:row>8</xdr:row>
      <xdr:rowOff>171450</xdr:rowOff>
    </xdr:from>
    <xdr:to>
      <xdr:col>11</xdr:col>
      <xdr:colOff>571500</xdr:colOff>
      <xdr:row>9</xdr:row>
      <xdr:rowOff>95250</xdr:rowOff>
    </xdr:to>
    <xdr:sp macro="" textlink="">
      <xdr:nvSpPr>
        <xdr:cNvPr id="7" name="Arrow: Right 6">
          <a:extLst>
            <a:ext uri="{FF2B5EF4-FFF2-40B4-BE49-F238E27FC236}">
              <a16:creationId xmlns:a16="http://schemas.microsoft.com/office/drawing/2014/main" xmlns="" id="{DCD976AC-2E82-4163-A1AC-271DB97C0961}"/>
            </a:ext>
          </a:extLst>
        </xdr:cNvPr>
        <xdr:cNvSpPr/>
      </xdr:nvSpPr>
      <xdr:spPr>
        <a:xfrm>
          <a:off x="5981700" y="1695450"/>
          <a:ext cx="1295400" cy="114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47625</xdr:colOff>
      <xdr:row>4</xdr:row>
      <xdr:rowOff>104775</xdr:rowOff>
    </xdr:from>
    <xdr:to>
      <xdr:col>17</xdr:col>
      <xdr:colOff>161925</xdr:colOff>
      <xdr:row>6</xdr:row>
      <xdr:rowOff>28575</xdr:rowOff>
    </xdr:to>
    <xdr:sp macro="" textlink="">
      <xdr:nvSpPr>
        <xdr:cNvPr id="9" name="Rectangle: Beveled 8">
          <a:extLst>
            <a:ext uri="{FF2B5EF4-FFF2-40B4-BE49-F238E27FC236}">
              <a16:creationId xmlns:a16="http://schemas.microsoft.com/office/drawing/2014/main" xmlns="" id="{A05BF10D-6497-4916-9CBB-268C599E7E57}"/>
            </a:ext>
          </a:extLst>
        </xdr:cNvPr>
        <xdr:cNvSpPr/>
      </xdr:nvSpPr>
      <xdr:spPr>
        <a:xfrm>
          <a:off x="8582025" y="866775"/>
          <a:ext cx="1943100" cy="30480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Further Process</a:t>
          </a:r>
        </a:p>
      </xdr:txBody>
    </xdr:sp>
    <xdr:clientData/>
  </xdr:twoCellAnchor>
  <xdr:twoCellAnchor>
    <xdr:from>
      <xdr:col>14</xdr:col>
      <xdr:colOff>57150</xdr:colOff>
      <xdr:row>6</xdr:row>
      <xdr:rowOff>85725</xdr:rowOff>
    </xdr:from>
    <xdr:to>
      <xdr:col>17</xdr:col>
      <xdr:colOff>171450</xdr:colOff>
      <xdr:row>8</xdr:row>
      <xdr:rowOff>9525</xdr:rowOff>
    </xdr:to>
    <xdr:sp macro="" textlink="">
      <xdr:nvSpPr>
        <xdr:cNvPr id="10" name="Rectangle: Beveled 9">
          <a:extLst>
            <a:ext uri="{FF2B5EF4-FFF2-40B4-BE49-F238E27FC236}">
              <a16:creationId xmlns:a16="http://schemas.microsoft.com/office/drawing/2014/main" xmlns="" id="{E837B7CA-600E-4EAC-A514-2050256CF189}"/>
            </a:ext>
          </a:extLst>
        </xdr:cNvPr>
        <xdr:cNvSpPr/>
      </xdr:nvSpPr>
      <xdr:spPr>
        <a:xfrm>
          <a:off x="8591550" y="1228725"/>
          <a:ext cx="1943100" cy="30480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Further Process</a:t>
          </a:r>
        </a:p>
      </xdr:txBody>
    </xdr:sp>
    <xdr:clientData/>
  </xdr:twoCellAnchor>
  <xdr:twoCellAnchor>
    <xdr:from>
      <xdr:col>14</xdr:col>
      <xdr:colOff>57150</xdr:colOff>
      <xdr:row>8</xdr:row>
      <xdr:rowOff>85725</xdr:rowOff>
    </xdr:from>
    <xdr:to>
      <xdr:col>17</xdr:col>
      <xdr:colOff>171450</xdr:colOff>
      <xdr:row>10</xdr:row>
      <xdr:rowOff>9525</xdr:rowOff>
    </xdr:to>
    <xdr:sp macro="" textlink="">
      <xdr:nvSpPr>
        <xdr:cNvPr id="11" name="Rectangle: Beveled 10">
          <a:extLst>
            <a:ext uri="{FF2B5EF4-FFF2-40B4-BE49-F238E27FC236}">
              <a16:creationId xmlns:a16="http://schemas.microsoft.com/office/drawing/2014/main" xmlns="" id="{1F4B6ED1-54B7-492A-B409-BD596CE42927}"/>
            </a:ext>
          </a:extLst>
        </xdr:cNvPr>
        <xdr:cNvSpPr/>
      </xdr:nvSpPr>
      <xdr:spPr>
        <a:xfrm>
          <a:off x="8591550" y="1609725"/>
          <a:ext cx="1943100" cy="304800"/>
        </a:xfrm>
        <a:prstGeom prst="bevel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600">
              <a:latin typeface="+mn-lt"/>
            </a:rPr>
            <a:t>Further Process</a:t>
          </a:r>
        </a:p>
      </xdr:txBody>
    </xdr:sp>
    <xdr:clientData/>
  </xdr:twoCellAnchor>
  <xdr:twoCellAnchor>
    <xdr:from>
      <xdr:col>17</xdr:col>
      <xdr:colOff>209550</xdr:colOff>
      <xdr:row>5</xdr:row>
      <xdr:rowOff>38100</xdr:rowOff>
    </xdr:from>
    <xdr:to>
      <xdr:col>18</xdr:col>
      <xdr:colOff>333375</xdr:colOff>
      <xdr:row>5</xdr:row>
      <xdr:rowOff>133350</xdr:rowOff>
    </xdr:to>
    <xdr:sp macro="" textlink="">
      <xdr:nvSpPr>
        <xdr:cNvPr id="12" name="Arrow: Right 11">
          <a:extLst>
            <a:ext uri="{FF2B5EF4-FFF2-40B4-BE49-F238E27FC236}">
              <a16:creationId xmlns:a16="http://schemas.microsoft.com/office/drawing/2014/main" xmlns="" id="{B321013B-B2BD-4496-A8A7-1CA012E1F90A}"/>
            </a:ext>
          </a:extLst>
        </xdr:cNvPr>
        <xdr:cNvSpPr/>
      </xdr:nvSpPr>
      <xdr:spPr>
        <a:xfrm>
          <a:off x="10572750" y="990600"/>
          <a:ext cx="733425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209550</xdr:colOff>
      <xdr:row>7</xdr:row>
      <xdr:rowOff>47625</xdr:rowOff>
    </xdr:from>
    <xdr:to>
      <xdr:col>18</xdr:col>
      <xdr:colOff>333375</xdr:colOff>
      <xdr:row>7</xdr:row>
      <xdr:rowOff>142875</xdr:rowOff>
    </xdr:to>
    <xdr:sp macro="" textlink="">
      <xdr:nvSpPr>
        <xdr:cNvPr id="13" name="Arrow: Right 12">
          <a:extLst>
            <a:ext uri="{FF2B5EF4-FFF2-40B4-BE49-F238E27FC236}">
              <a16:creationId xmlns:a16="http://schemas.microsoft.com/office/drawing/2014/main" xmlns="" id="{60B910D0-F0DE-4577-A15D-659EE29FBC3E}"/>
            </a:ext>
          </a:extLst>
        </xdr:cNvPr>
        <xdr:cNvSpPr/>
      </xdr:nvSpPr>
      <xdr:spPr>
        <a:xfrm>
          <a:off x="10572750" y="1381125"/>
          <a:ext cx="733425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219075</xdr:colOff>
      <xdr:row>9</xdr:row>
      <xdr:rowOff>28575</xdr:rowOff>
    </xdr:from>
    <xdr:to>
      <xdr:col>18</xdr:col>
      <xdr:colOff>342900</xdr:colOff>
      <xdr:row>9</xdr:row>
      <xdr:rowOff>123825</xdr:rowOff>
    </xdr:to>
    <xdr:sp macro="" textlink="">
      <xdr:nvSpPr>
        <xdr:cNvPr id="14" name="Arrow: Right 13">
          <a:extLst>
            <a:ext uri="{FF2B5EF4-FFF2-40B4-BE49-F238E27FC236}">
              <a16:creationId xmlns:a16="http://schemas.microsoft.com/office/drawing/2014/main" xmlns="" id="{3FE6A1B3-7522-470D-83E7-32905D3DA389}"/>
            </a:ext>
          </a:extLst>
        </xdr:cNvPr>
        <xdr:cNvSpPr/>
      </xdr:nvSpPr>
      <xdr:spPr>
        <a:xfrm>
          <a:off x="10582275" y="1743075"/>
          <a:ext cx="733425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228599</xdr:colOff>
      <xdr:row>19</xdr:row>
      <xdr:rowOff>114300</xdr:rowOff>
    </xdr:to>
    <xdr:sp macro="" textlink="">
      <xdr:nvSpPr>
        <xdr:cNvPr id="16" name="Rectangle 1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380999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514348</xdr:colOff>
      <xdr:row>5</xdr:row>
      <xdr:rowOff>95249</xdr:rowOff>
    </xdr:from>
    <xdr:to>
      <xdr:col>4</xdr:col>
      <xdr:colOff>485775</xdr:colOff>
      <xdr:row>12</xdr:row>
      <xdr:rowOff>47624</xdr:rowOff>
    </xdr:to>
    <xdr:sp macro="" textlink="">
      <xdr:nvSpPr>
        <xdr:cNvPr id="2" name="Smiley Face 1">
          <a:extLst>
            <a:ext uri="{FF2B5EF4-FFF2-40B4-BE49-F238E27FC236}">
              <a16:creationId xmlns:a16="http://schemas.microsoft.com/office/drawing/2014/main" xmlns="" id="{11A414B2-6D77-1316-E4B5-C928A1C81E11}"/>
            </a:ext>
          </a:extLst>
        </xdr:cNvPr>
        <xdr:cNvSpPr/>
      </xdr:nvSpPr>
      <xdr:spPr>
        <a:xfrm>
          <a:off x="6962773" y="857249"/>
          <a:ext cx="1800227" cy="1285875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Impeller</a:t>
          </a:r>
        </a:p>
      </xdr:txBody>
    </xdr:sp>
    <xdr:clientData/>
  </xdr:twoCellAnchor>
  <xdr:twoCellAnchor>
    <xdr:from>
      <xdr:col>7</xdr:col>
      <xdr:colOff>209548</xdr:colOff>
      <xdr:row>5</xdr:row>
      <xdr:rowOff>57149</xdr:rowOff>
    </xdr:from>
    <xdr:to>
      <xdr:col>10</xdr:col>
      <xdr:colOff>180975</xdr:colOff>
      <xdr:row>12</xdr:row>
      <xdr:rowOff>9524</xdr:rowOff>
    </xdr:to>
    <xdr:sp macro="" textlink="">
      <xdr:nvSpPr>
        <xdr:cNvPr id="3" name="Smiley Face 2">
          <a:extLst>
            <a:ext uri="{FF2B5EF4-FFF2-40B4-BE49-F238E27FC236}">
              <a16:creationId xmlns:a16="http://schemas.microsoft.com/office/drawing/2014/main" xmlns="" id="{E1FEBCC5-1EA4-4332-B826-06120061BDEF}"/>
            </a:ext>
          </a:extLst>
        </xdr:cNvPr>
        <xdr:cNvSpPr/>
      </xdr:nvSpPr>
      <xdr:spPr>
        <a:xfrm>
          <a:off x="10315573" y="819149"/>
          <a:ext cx="1800227" cy="1285875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400"/>
            <a:t>Pump</a:t>
          </a:r>
        </a:p>
      </xdr:txBody>
    </xdr:sp>
    <xdr:clientData/>
  </xdr:twoCellAnchor>
  <xdr:twoCellAnchor>
    <xdr:from>
      <xdr:col>3</xdr:col>
      <xdr:colOff>447675</xdr:colOff>
      <xdr:row>0</xdr:row>
      <xdr:rowOff>47625</xdr:rowOff>
    </xdr:from>
    <xdr:to>
      <xdr:col>8</xdr:col>
      <xdr:colOff>619125</xdr:colOff>
      <xdr:row>5</xdr:row>
      <xdr:rowOff>57150</xdr:rowOff>
    </xdr:to>
    <xdr:sp macro="" textlink="">
      <xdr:nvSpPr>
        <xdr:cNvPr id="4" name="Arrow: Curved Down 3">
          <a:extLst>
            <a:ext uri="{FF2B5EF4-FFF2-40B4-BE49-F238E27FC236}">
              <a16:creationId xmlns:a16="http://schemas.microsoft.com/office/drawing/2014/main" xmlns="" id="{F3E1FAE6-08AC-DA4D-95D6-5319E9998EF7}"/>
            </a:ext>
          </a:extLst>
        </xdr:cNvPr>
        <xdr:cNvSpPr/>
      </xdr:nvSpPr>
      <xdr:spPr>
        <a:xfrm>
          <a:off x="2628900" y="47625"/>
          <a:ext cx="3695700" cy="962025"/>
        </a:xfrm>
        <a:prstGeom prst="curvedDownArrow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76200</xdr:colOff>
      <xdr:row>0</xdr:row>
      <xdr:rowOff>123825</xdr:rowOff>
    </xdr:from>
    <xdr:to>
      <xdr:col>12</xdr:col>
      <xdr:colOff>561975</xdr:colOff>
      <xdr:row>5</xdr:row>
      <xdr:rowOff>123825</xdr:rowOff>
    </xdr:to>
    <xdr:sp macro="" textlink="">
      <xdr:nvSpPr>
        <xdr:cNvPr id="5" name="Arrow: Curved Down 4">
          <a:extLst>
            <a:ext uri="{FF2B5EF4-FFF2-40B4-BE49-F238E27FC236}">
              <a16:creationId xmlns:a16="http://schemas.microsoft.com/office/drawing/2014/main" xmlns="" id="{555794AF-9A87-C784-8412-986B406F2123}"/>
            </a:ext>
          </a:extLst>
        </xdr:cNvPr>
        <xdr:cNvSpPr/>
      </xdr:nvSpPr>
      <xdr:spPr>
        <a:xfrm flipH="1">
          <a:off x="7686675" y="123825"/>
          <a:ext cx="3352800" cy="952500"/>
        </a:xfrm>
        <a:prstGeom prst="curved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304799</xdr:colOff>
      <xdr:row>19</xdr:row>
      <xdr:rowOff>95250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942975</xdr:colOff>
      <xdr:row>7</xdr:row>
      <xdr:rowOff>66675</xdr:rowOff>
    </xdr:from>
    <xdr:to>
      <xdr:col>4</xdr:col>
      <xdr:colOff>952500</xdr:colOff>
      <xdr:row>11</xdr:row>
      <xdr:rowOff>161925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103EFE5D-2044-D973-6DF2-054E9DA907A6}"/>
            </a:ext>
          </a:extLst>
        </xdr:cNvPr>
        <xdr:cNvCxnSpPr/>
      </xdr:nvCxnSpPr>
      <xdr:spPr>
        <a:xfrm flipH="1" flipV="1">
          <a:off x="6648450" y="1400175"/>
          <a:ext cx="9525" cy="8858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285749</xdr:colOff>
      <xdr:row>19</xdr:row>
      <xdr:rowOff>66675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838199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323849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A21" sqref="A21"/>
    </sheetView>
  </sheetViews>
  <sheetFormatPr defaultRowHeight="15" x14ac:dyDescent="0.25"/>
  <cols>
    <col min="1" max="1" width="23.140625" bestFit="1" customWidth="1"/>
    <col min="2" max="2" width="13.28515625" bestFit="1" customWidth="1"/>
    <col min="3" max="3" width="26.7109375" customWidth="1"/>
    <col min="4" max="5" width="11.7109375" bestFit="1" customWidth="1"/>
    <col min="6" max="6" width="15.42578125" customWidth="1"/>
    <col min="7" max="7" width="11.5703125" bestFit="1" customWidth="1"/>
    <col min="8" max="8" width="13.28515625" bestFit="1" customWidth="1"/>
  </cols>
  <sheetData>
    <row r="3" spans="1:11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11" x14ac:dyDescent="0.25">
      <c r="A4" t="s">
        <v>7</v>
      </c>
      <c r="B4" s="1"/>
      <c r="C4" s="1"/>
      <c r="D4" s="1"/>
      <c r="E4" s="1"/>
      <c r="F4" s="1"/>
      <c r="G4" s="1"/>
      <c r="H4" s="1"/>
      <c r="I4" t="s">
        <v>8</v>
      </c>
    </row>
    <row r="5" spans="1:11" x14ac:dyDescent="0.25">
      <c r="B5" s="2">
        <v>0</v>
      </c>
      <c r="C5" s="3">
        <v>350000</v>
      </c>
      <c r="D5" s="3">
        <v>500000</v>
      </c>
      <c r="E5" s="3">
        <v>600000</v>
      </c>
      <c r="F5" s="3">
        <v>725000</v>
      </c>
      <c r="G5" s="3">
        <v>850000</v>
      </c>
      <c r="H5" s="3">
        <v>1000000</v>
      </c>
    </row>
    <row r="8" spans="1:11" x14ac:dyDescent="0.25">
      <c r="B8" t="s">
        <v>0</v>
      </c>
      <c r="C8" t="s">
        <v>1</v>
      </c>
      <c r="D8" t="s">
        <v>2</v>
      </c>
      <c r="E8" t="s">
        <v>3</v>
      </c>
      <c r="F8" t="s">
        <v>4</v>
      </c>
      <c r="G8" t="s">
        <v>5</v>
      </c>
      <c r="H8" t="s">
        <v>6</v>
      </c>
    </row>
    <row r="9" spans="1:11" x14ac:dyDescent="0.25">
      <c r="A9" t="s">
        <v>9</v>
      </c>
      <c r="B9" s="1"/>
      <c r="C9" s="1"/>
      <c r="D9" s="1"/>
      <c r="E9" s="1"/>
      <c r="F9" s="1"/>
      <c r="G9" s="1"/>
      <c r="H9" s="1"/>
      <c r="I9" t="s">
        <v>10</v>
      </c>
    </row>
    <row r="10" spans="1:11" x14ac:dyDescent="0.25">
      <c r="B10" s="4">
        <v>1000000</v>
      </c>
      <c r="C10" s="3"/>
      <c r="D10" s="3"/>
      <c r="E10" s="3"/>
      <c r="F10" s="3"/>
      <c r="G10" s="3"/>
      <c r="H10" s="3">
        <v>0</v>
      </c>
    </row>
    <row r="11" spans="1:11" x14ac:dyDescent="0.25">
      <c r="B11" s="3">
        <v>1000000</v>
      </c>
      <c r="C11" s="3">
        <v>650000</v>
      </c>
      <c r="D11" s="3">
        <v>575000</v>
      </c>
      <c r="E11" s="3">
        <v>400000</v>
      </c>
      <c r="F11" s="3">
        <v>250000</v>
      </c>
      <c r="G11" s="3">
        <v>100000</v>
      </c>
      <c r="H11" s="3">
        <v>0</v>
      </c>
    </row>
    <row r="14" spans="1:11" x14ac:dyDescent="0.25">
      <c r="A14" t="s">
        <v>11</v>
      </c>
      <c r="B14" s="5" t="s">
        <v>12</v>
      </c>
      <c r="C14" t="s">
        <v>13</v>
      </c>
      <c r="G14" s="176" t="s">
        <v>14</v>
      </c>
      <c r="H14" s="176"/>
      <c r="I14" s="176"/>
      <c r="J14" s="176"/>
      <c r="K14" s="176"/>
    </row>
    <row r="15" spans="1:11" x14ac:dyDescent="0.25">
      <c r="A15" t="s">
        <v>11</v>
      </c>
      <c r="B15" s="5" t="s">
        <v>12</v>
      </c>
      <c r="C15" t="s">
        <v>15</v>
      </c>
      <c r="G15" s="176"/>
      <c r="H15" s="176"/>
      <c r="I15" s="176"/>
      <c r="J15" s="176"/>
      <c r="K15" s="176"/>
    </row>
    <row r="16" spans="1:11" x14ac:dyDescent="0.25">
      <c r="A16" t="s">
        <v>11</v>
      </c>
      <c r="B16" s="5" t="s">
        <v>12</v>
      </c>
      <c r="C16" t="s">
        <v>16</v>
      </c>
      <c r="G16" s="176"/>
      <c r="H16" s="176"/>
      <c r="I16" s="176"/>
      <c r="J16" s="176"/>
      <c r="K16" s="176"/>
    </row>
    <row r="17" spans="1:11" x14ac:dyDescent="0.25">
      <c r="A17" t="s">
        <v>11</v>
      </c>
      <c r="B17" s="5" t="s">
        <v>12</v>
      </c>
      <c r="C17" t="s">
        <v>17</v>
      </c>
      <c r="G17" s="176"/>
      <c r="H17" s="176"/>
      <c r="I17" s="176"/>
      <c r="J17" s="176"/>
      <c r="K17" s="176"/>
    </row>
    <row r="18" spans="1:11" x14ac:dyDescent="0.25">
      <c r="A18" t="s">
        <v>11</v>
      </c>
      <c r="B18" s="5" t="s">
        <v>12</v>
      </c>
      <c r="C18" t="s">
        <v>18</v>
      </c>
      <c r="G18" s="176"/>
      <c r="H18" s="176"/>
      <c r="I18" s="176"/>
      <c r="J18" s="176"/>
      <c r="K18" s="176"/>
    </row>
    <row r="19" spans="1:11" x14ac:dyDescent="0.25">
      <c r="A19" t="s">
        <v>11</v>
      </c>
      <c r="B19" s="5" t="s">
        <v>12</v>
      </c>
      <c r="C19" t="s">
        <v>19</v>
      </c>
      <c r="G19" s="176"/>
      <c r="H19" s="176"/>
      <c r="I19" s="176"/>
      <c r="J19" s="176"/>
      <c r="K19" s="176"/>
    </row>
    <row r="22" spans="1:11" x14ac:dyDescent="0.25">
      <c r="A22" t="s">
        <v>20</v>
      </c>
      <c r="B22" t="s">
        <v>21</v>
      </c>
    </row>
    <row r="23" spans="1:11" x14ac:dyDescent="0.25">
      <c r="B23" t="s">
        <v>22</v>
      </c>
    </row>
    <row r="24" spans="1:11" x14ac:dyDescent="0.25">
      <c r="B24" t="s">
        <v>23</v>
      </c>
    </row>
    <row r="25" spans="1:11" x14ac:dyDescent="0.25">
      <c r="B25" t="s">
        <v>24</v>
      </c>
    </row>
    <row r="26" spans="1:11" x14ac:dyDescent="0.25">
      <c r="B26" t="s">
        <v>25</v>
      </c>
    </row>
    <row r="27" spans="1:11" x14ac:dyDescent="0.25">
      <c r="B27" t="s">
        <v>26</v>
      </c>
    </row>
    <row r="29" spans="1:11" x14ac:dyDescent="0.25">
      <c r="A29" s="6" t="s">
        <v>27</v>
      </c>
    </row>
    <row r="30" spans="1:11" x14ac:dyDescent="0.25">
      <c r="A30" s="10" t="s">
        <v>28</v>
      </c>
      <c r="B30" s="10" t="s">
        <v>29</v>
      </c>
      <c r="C30" s="10"/>
      <c r="D30" s="10" t="s">
        <v>30</v>
      </c>
      <c r="E30" s="10"/>
    </row>
    <row r="31" spans="1:11" x14ac:dyDescent="0.25">
      <c r="A31" s="10" t="s">
        <v>31</v>
      </c>
      <c r="B31" s="10" t="s">
        <v>32</v>
      </c>
      <c r="C31" s="10"/>
      <c r="D31" s="10" t="s">
        <v>33</v>
      </c>
      <c r="E31" s="10"/>
      <c r="F31" s="10" t="s">
        <v>34</v>
      </c>
    </row>
    <row r="32" spans="1:11" x14ac:dyDescent="0.25">
      <c r="A32" t="s">
        <v>35</v>
      </c>
      <c r="B32" t="s">
        <v>36</v>
      </c>
      <c r="D32" t="s">
        <v>37</v>
      </c>
    </row>
    <row r="34" spans="1:3" x14ac:dyDescent="0.25">
      <c r="A34" t="s">
        <v>38</v>
      </c>
      <c r="B34" t="s">
        <v>39</v>
      </c>
      <c r="C34" t="s">
        <v>40</v>
      </c>
    </row>
    <row r="35" spans="1:3" x14ac:dyDescent="0.25">
      <c r="A35" t="s">
        <v>41</v>
      </c>
      <c r="B35" t="s">
        <v>42</v>
      </c>
    </row>
  </sheetData>
  <mergeCells count="1">
    <mergeCell ref="G14:K1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A21" sqref="A21"/>
    </sheetView>
  </sheetViews>
  <sheetFormatPr defaultRowHeight="15" x14ac:dyDescent="0.25"/>
  <cols>
    <col min="1" max="1" width="19.85546875" bestFit="1" customWidth="1"/>
    <col min="2" max="2" width="16.85546875" customWidth="1"/>
    <col min="3" max="3" width="12.28515625" bestFit="1" customWidth="1"/>
  </cols>
  <sheetData>
    <row r="2" spans="1:4" x14ac:dyDescent="0.25">
      <c r="A2" s="6" t="s">
        <v>43</v>
      </c>
    </row>
    <row r="4" spans="1:4" x14ac:dyDescent="0.25">
      <c r="A4" t="s">
        <v>44</v>
      </c>
      <c r="C4" s="3">
        <v>200000</v>
      </c>
    </row>
    <row r="5" spans="1:4" x14ac:dyDescent="0.25">
      <c r="A5" t="s">
        <v>45</v>
      </c>
      <c r="B5" t="s">
        <v>46</v>
      </c>
      <c r="C5" s="3">
        <f>-C4*0.85</f>
        <v>-170000</v>
      </c>
    </row>
    <row r="6" spans="1:4" x14ac:dyDescent="0.25">
      <c r="A6" t="s">
        <v>47</v>
      </c>
      <c r="C6" s="7">
        <f>SUM(C4:C5)</f>
        <v>30000</v>
      </c>
    </row>
    <row r="7" spans="1:4" x14ac:dyDescent="0.25">
      <c r="A7" t="s">
        <v>48</v>
      </c>
      <c r="C7" s="3">
        <v>15000</v>
      </c>
      <c r="D7" t="s">
        <v>49</v>
      </c>
    </row>
    <row r="9" spans="1:4" x14ac:dyDescent="0.25">
      <c r="A9" s="8" t="s">
        <v>11</v>
      </c>
    </row>
    <row r="10" spans="1:4" x14ac:dyDescent="0.25">
      <c r="A10" t="s">
        <v>50</v>
      </c>
      <c r="B10" t="s">
        <v>51</v>
      </c>
      <c r="C10" s="3">
        <f>15000*25</f>
        <v>375000</v>
      </c>
    </row>
    <row r="11" spans="1:4" x14ac:dyDescent="0.25">
      <c r="A11" t="s">
        <v>52</v>
      </c>
      <c r="C11" s="3">
        <v>0</v>
      </c>
      <c r="D11" t="s">
        <v>53</v>
      </c>
    </row>
    <row r="12" spans="1:4" x14ac:dyDescent="0.25">
      <c r="A12" t="s">
        <v>54</v>
      </c>
      <c r="C12" s="3">
        <v>0</v>
      </c>
    </row>
    <row r="13" spans="1:4" ht="15.75" thickBot="1" x14ac:dyDescent="0.3">
      <c r="A13" t="s">
        <v>55</v>
      </c>
      <c r="C13" s="9">
        <f>SUM(C10:C12)</f>
        <v>375000</v>
      </c>
    </row>
    <row r="14" spans="1:4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workbookViewId="0">
      <selection activeCell="A22" sqref="A22"/>
    </sheetView>
  </sheetViews>
  <sheetFormatPr defaultRowHeight="15" x14ac:dyDescent="0.25"/>
  <cols>
    <col min="1" max="1" width="40.28515625" bestFit="1" customWidth="1"/>
    <col min="2" max="2" width="21.7109375" bestFit="1" customWidth="1"/>
    <col min="3" max="3" width="10.5703125" bestFit="1" customWidth="1"/>
  </cols>
  <sheetData>
    <row r="2" spans="1:13" x14ac:dyDescent="0.25">
      <c r="A2" s="6" t="s">
        <v>56</v>
      </c>
    </row>
    <row r="4" spans="1:13" x14ac:dyDescent="0.25">
      <c r="A4" s="8" t="s">
        <v>57</v>
      </c>
    </row>
    <row r="6" spans="1:13" x14ac:dyDescent="0.25">
      <c r="A6" t="s">
        <v>50</v>
      </c>
      <c r="B6" t="s">
        <v>58</v>
      </c>
      <c r="C6" s="3">
        <f>1500*15</f>
        <v>22500</v>
      </c>
    </row>
    <row r="7" spans="1:13" x14ac:dyDescent="0.25">
      <c r="A7" t="s">
        <v>59</v>
      </c>
      <c r="C7" s="3">
        <v>5000</v>
      </c>
    </row>
    <row r="8" spans="1:13" x14ac:dyDescent="0.25">
      <c r="A8" t="s">
        <v>54</v>
      </c>
      <c r="B8" t="s">
        <v>60</v>
      </c>
      <c r="C8" s="3">
        <f>1500*3*8</f>
        <v>36000</v>
      </c>
      <c r="E8" t="s">
        <v>61</v>
      </c>
      <c r="G8">
        <v>1</v>
      </c>
      <c r="H8" t="s">
        <v>62</v>
      </c>
      <c r="L8" t="s">
        <v>63</v>
      </c>
      <c r="M8" t="s">
        <v>54</v>
      </c>
    </row>
    <row r="9" spans="1:13" ht="15.75" thickBot="1" x14ac:dyDescent="0.3">
      <c r="C9" s="9">
        <f>SUM(C6:C8)</f>
        <v>63500</v>
      </c>
      <c r="G9" s="10">
        <v>2</v>
      </c>
      <c r="H9" s="10" t="s">
        <v>64</v>
      </c>
      <c r="I9" s="10"/>
      <c r="J9" s="10"/>
      <c r="K9" s="10"/>
      <c r="L9" s="10" t="s">
        <v>65</v>
      </c>
    </row>
    <row r="10" spans="1:13" ht="15.75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workbookViewId="0">
      <selection activeCell="D15" sqref="D15"/>
    </sheetView>
  </sheetViews>
  <sheetFormatPr defaultRowHeight="15" x14ac:dyDescent="0.25"/>
  <cols>
    <col min="3" max="3" width="10.5703125" bestFit="1" customWidth="1"/>
    <col min="4" max="4" width="14.140625" customWidth="1"/>
    <col min="7" max="7" width="14" customWidth="1"/>
  </cols>
  <sheetData>
    <row r="2" spans="1:14" x14ac:dyDescent="0.25">
      <c r="F2" t="s">
        <v>66</v>
      </c>
    </row>
    <row r="4" spans="1:14" x14ac:dyDescent="0.25">
      <c r="D4" t="s">
        <v>67</v>
      </c>
      <c r="H4" s="11" t="s">
        <v>68</v>
      </c>
    </row>
    <row r="6" spans="1:14" x14ac:dyDescent="0.25">
      <c r="D6" t="s">
        <v>69</v>
      </c>
      <c r="G6" s="2" t="s">
        <v>70</v>
      </c>
      <c r="J6" t="s">
        <v>71</v>
      </c>
    </row>
    <row r="8" spans="1:14" ht="60" x14ac:dyDescent="0.25">
      <c r="D8" t="s">
        <v>72</v>
      </c>
      <c r="G8" s="12" t="s">
        <v>73</v>
      </c>
      <c r="J8" s="177" t="s">
        <v>74</v>
      </c>
      <c r="K8" s="177"/>
    </row>
    <row r="9" spans="1:14" x14ac:dyDescent="0.25">
      <c r="D9" s="10" t="s">
        <v>11</v>
      </c>
      <c r="I9" t="s">
        <v>75</v>
      </c>
      <c r="K9" t="s">
        <v>76</v>
      </c>
      <c r="M9" s="2" t="s">
        <v>77</v>
      </c>
    </row>
    <row r="10" spans="1:14" ht="60" x14ac:dyDescent="0.25">
      <c r="G10" s="12" t="s">
        <v>78</v>
      </c>
      <c r="I10" s="178" t="s">
        <v>54</v>
      </c>
      <c r="J10" s="178"/>
      <c r="K10" s="178"/>
      <c r="L10" s="178"/>
      <c r="M10" s="178"/>
      <c r="N10" s="178"/>
    </row>
    <row r="11" spans="1:14" x14ac:dyDescent="0.25">
      <c r="G11" s="10" t="s">
        <v>11</v>
      </c>
      <c r="I11" s="179" t="s">
        <v>11</v>
      </c>
      <c r="J11" s="179"/>
      <c r="K11" s="179"/>
      <c r="L11" s="179"/>
      <c r="M11" s="179"/>
      <c r="N11" s="179"/>
    </row>
    <row r="13" spans="1:14" x14ac:dyDescent="0.25">
      <c r="A13" s="6" t="s">
        <v>79</v>
      </c>
    </row>
    <row r="15" spans="1:14" x14ac:dyDescent="0.25">
      <c r="A15" s="13" t="s">
        <v>80</v>
      </c>
    </row>
    <row r="16" spans="1:14" x14ac:dyDescent="0.25">
      <c r="A16" t="s">
        <v>81</v>
      </c>
      <c r="B16" t="s">
        <v>82</v>
      </c>
      <c r="D16" s="3">
        <f>1000*24</f>
        <v>24000</v>
      </c>
      <c r="E16" t="s">
        <v>83</v>
      </c>
    </row>
    <row r="17" spans="1:5" x14ac:dyDescent="0.25">
      <c r="A17" t="s">
        <v>84</v>
      </c>
      <c r="B17" t="s">
        <v>85</v>
      </c>
      <c r="C17" s="3">
        <f>400*20</f>
        <v>8000</v>
      </c>
      <c r="E17" t="s">
        <v>83</v>
      </c>
    </row>
    <row r="18" spans="1:5" x14ac:dyDescent="0.25">
      <c r="B18" t="s">
        <v>86</v>
      </c>
      <c r="C18" s="15">
        <f>600*20</f>
        <v>12000</v>
      </c>
      <c r="D18" s="7">
        <f>SUM(C17:C18)</f>
        <v>20000</v>
      </c>
      <c r="E18" t="s">
        <v>87</v>
      </c>
    </row>
    <row r="19" spans="1:5" x14ac:dyDescent="0.25">
      <c r="A19" t="s">
        <v>88</v>
      </c>
      <c r="B19" t="s">
        <v>89</v>
      </c>
      <c r="C19" s="3">
        <f>300*16</f>
        <v>4800</v>
      </c>
      <c r="E19" t="s">
        <v>83</v>
      </c>
    </row>
    <row r="20" spans="1:5" x14ac:dyDescent="0.25">
      <c r="B20" t="s">
        <v>90</v>
      </c>
      <c r="C20" s="15">
        <f>700*10</f>
        <v>7000</v>
      </c>
      <c r="D20" s="7">
        <f>SUM(C19:C20)</f>
        <v>11800</v>
      </c>
      <c r="E20" t="s">
        <v>54</v>
      </c>
    </row>
    <row r="21" spans="1:5" x14ac:dyDescent="0.25">
      <c r="A21" t="s">
        <v>91</v>
      </c>
      <c r="B21" t="s">
        <v>92</v>
      </c>
      <c r="C21" s="3">
        <v>6000</v>
      </c>
      <c r="D21" s="7">
        <f>+C21</f>
        <v>6000</v>
      </c>
      <c r="E21" t="s">
        <v>93</v>
      </c>
    </row>
    <row r="22" spans="1:5" x14ac:dyDescent="0.25">
      <c r="B22" s="14" t="s">
        <v>94</v>
      </c>
      <c r="C22" s="16">
        <f>200*24</f>
        <v>4800</v>
      </c>
      <c r="D22" s="3">
        <v>0</v>
      </c>
      <c r="E22" t="s">
        <v>95</v>
      </c>
    </row>
    <row r="23" spans="1:5" ht="15.75" thickBot="1" x14ac:dyDescent="0.3">
      <c r="D23" s="9">
        <f>SUM(D16:D22)</f>
        <v>61800</v>
      </c>
    </row>
    <row r="24" spans="1:5" ht="15.75" thickTop="1" x14ac:dyDescent="0.25"/>
  </sheetData>
  <mergeCells count="3">
    <mergeCell ref="J8:K8"/>
    <mergeCell ref="I10:N10"/>
    <mergeCell ref="I11:N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workbookViewId="0">
      <selection activeCell="A23" sqref="A23"/>
    </sheetView>
  </sheetViews>
  <sheetFormatPr defaultRowHeight="15" x14ac:dyDescent="0.25"/>
  <cols>
    <col min="1" max="1" width="19" customWidth="1"/>
    <col min="3" max="3" width="10.5703125" bestFit="1" customWidth="1"/>
    <col min="4" max="4" width="12.28515625" bestFit="1" customWidth="1"/>
  </cols>
  <sheetData>
    <row r="2" spans="1:13" x14ac:dyDescent="0.25">
      <c r="A2" s="6" t="s">
        <v>96</v>
      </c>
      <c r="F2" s="6" t="s">
        <v>97</v>
      </c>
      <c r="M2" t="s">
        <v>98</v>
      </c>
    </row>
    <row r="5" spans="1:13" x14ac:dyDescent="0.25">
      <c r="E5" t="s">
        <v>99</v>
      </c>
      <c r="I5" t="s">
        <v>100</v>
      </c>
    </row>
    <row r="7" spans="1:13" x14ac:dyDescent="0.25">
      <c r="I7" t="s">
        <v>101</v>
      </c>
      <c r="L7" t="s">
        <v>102</v>
      </c>
    </row>
    <row r="8" spans="1:13" x14ac:dyDescent="0.25">
      <c r="E8" t="s">
        <v>103</v>
      </c>
    </row>
    <row r="9" spans="1:13" x14ac:dyDescent="0.25">
      <c r="E9" s="10" t="s">
        <v>104</v>
      </c>
      <c r="H9" t="s">
        <v>105</v>
      </c>
      <c r="J9" t="s">
        <v>106</v>
      </c>
    </row>
    <row r="11" spans="1:13" x14ac:dyDescent="0.25">
      <c r="L11" t="s">
        <v>54</v>
      </c>
    </row>
    <row r="12" spans="1:13" x14ac:dyDescent="0.25">
      <c r="H12" t="s">
        <v>107</v>
      </c>
      <c r="J12" t="s">
        <v>108</v>
      </c>
      <c r="L12" s="10" t="s">
        <v>11</v>
      </c>
    </row>
    <row r="13" spans="1:13" x14ac:dyDescent="0.25">
      <c r="H13" s="10" t="s">
        <v>11</v>
      </c>
      <c r="J13" s="10" t="s">
        <v>11</v>
      </c>
    </row>
    <row r="16" spans="1:13" x14ac:dyDescent="0.25">
      <c r="A16" t="s">
        <v>109</v>
      </c>
      <c r="D16" s="3">
        <v>100000</v>
      </c>
    </row>
    <row r="17" spans="1:8" x14ac:dyDescent="0.25">
      <c r="A17" s="6" t="s">
        <v>110</v>
      </c>
    </row>
    <row r="18" spans="1:8" x14ac:dyDescent="0.25">
      <c r="A18" t="s">
        <v>111</v>
      </c>
      <c r="C18" s="3">
        <v>30000</v>
      </c>
    </row>
    <row r="19" spans="1:8" x14ac:dyDescent="0.25">
      <c r="A19" t="s">
        <v>112</v>
      </c>
      <c r="C19" s="3"/>
    </row>
    <row r="20" spans="1:8" x14ac:dyDescent="0.25">
      <c r="A20" s="27" t="s">
        <v>113</v>
      </c>
      <c r="B20" s="10" t="s">
        <v>114</v>
      </c>
      <c r="C20" s="21">
        <v>20000</v>
      </c>
      <c r="E20" t="s">
        <v>115</v>
      </c>
      <c r="H20" t="s">
        <v>116</v>
      </c>
    </row>
    <row r="21" spans="1:8" x14ac:dyDescent="0.25">
      <c r="A21" s="26" t="s">
        <v>54</v>
      </c>
      <c r="B21" t="s">
        <v>117</v>
      </c>
      <c r="C21" s="3">
        <v>24000</v>
      </c>
      <c r="H21" t="s">
        <v>118</v>
      </c>
    </row>
    <row r="22" spans="1:8" x14ac:dyDescent="0.25">
      <c r="A22" t="s">
        <v>119</v>
      </c>
      <c r="B22" t="s">
        <v>120</v>
      </c>
      <c r="C22" s="3">
        <f>2000*5</f>
        <v>10000</v>
      </c>
    </row>
    <row r="23" spans="1:8" x14ac:dyDescent="0.25">
      <c r="A23" s="10" t="s">
        <v>121</v>
      </c>
      <c r="B23" s="10" t="s">
        <v>122</v>
      </c>
      <c r="C23" s="21">
        <v>0</v>
      </c>
      <c r="D23" s="7">
        <f>-SUM(C18:C23)</f>
        <v>-84000</v>
      </c>
    </row>
    <row r="24" spans="1:8" ht="15.75" thickBot="1" x14ac:dyDescent="0.3">
      <c r="A24" t="s">
        <v>123</v>
      </c>
      <c r="D24" s="9">
        <f>SUM(D16:D23)</f>
        <v>16000</v>
      </c>
    </row>
    <row r="25" spans="1:8" ht="15.75" thickTop="1" x14ac:dyDescent="0.25"/>
    <row r="26" spans="1:8" x14ac:dyDescent="0.25">
      <c r="A26" s="10" t="s">
        <v>124</v>
      </c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C22" sqref="C22"/>
    </sheetView>
  </sheetViews>
  <sheetFormatPr defaultRowHeight="15" x14ac:dyDescent="0.25"/>
  <cols>
    <col min="1" max="1" width="16.85546875" customWidth="1"/>
    <col min="2" max="2" width="10.85546875" bestFit="1" customWidth="1"/>
    <col min="6" max="6" width="10.5703125" customWidth="1"/>
  </cols>
  <sheetData>
    <row r="2" spans="1:8" x14ac:dyDescent="0.25">
      <c r="A2" s="6" t="s">
        <v>125</v>
      </c>
    </row>
    <row r="3" spans="1:8" x14ac:dyDescent="0.25">
      <c r="C3" t="s">
        <v>126</v>
      </c>
      <c r="F3" t="s">
        <v>127</v>
      </c>
    </row>
    <row r="4" spans="1:8" x14ac:dyDescent="0.25">
      <c r="C4" s="11" t="s">
        <v>128</v>
      </c>
      <c r="D4" s="11"/>
      <c r="E4" s="11"/>
      <c r="F4" s="11" t="s">
        <v>129</v>
      </c>
      <c r="H4" t="s">
        <v>130</v>
      </c>
    </row>
    <row r="5" spans="1:8" x14ac:dyDescent="0.25">
      <c r="A5" t="s">
        <v>131</v>
      </c>
      <c r="C5" s="3">
        <v>150</v>
      </c>
      <c r="F5" s="1">
        <f>-F9/H9</f>
        <v>176.52439024390245</v>
      </c>
      <c r="H5" s="18">
        <v>1</v>
      </c>
    </row>
    <row r="6" spans="1:8" x14ac:dyDescent="0.25">
      <c r="A6" s="6" t="s">
        <v>132</v>
      </c>
      <c r="C6" s="3"/>
      <c r="H6" s="18"/>
    </row>
    <row r="7" spans="1:8" x14ac:dyDescent="0.25">
      <c r="A7" t="s">
        <v>111</v>
      </c>
      <c r="B7" s="3">
        <v>40</v>
      </c>
      <c r="C7" s="3"/>
      <c r="D7" t="s">
        <v>133</v>
      </c>
      <c r="E7" s="7">
        <f>B7*1.1</f>
        <v>44</v>
      </c>
      <c r="H7" s="18"/>
    </row>
    <row r="8" spans="1:8" x14ac:dyDescent="0.25">
      <c r="A8" t="s">
        <v>112</v>
      </c>
      <c r="B8" s="3">
        <v>32</v>
      </c>
      <c r="C8" s="3"/>
      <c r="D8" t="s">
        <v>134</v>
      </c>
      <c r="E8" s="3">
        <f>+B8*1.25</f>
        <v>40</v>
      </c>
      <c r="H8" s="18"/>
    </row>
    <row r="9" spans="1:8" x14ac:dyDescent="0.25">
      <c r="A9" t="s">
        <v>119</v>
      </c>
      <c r="B9" s="3">
        <v>10</v>
      </c>
      <c r="C9" s="3">
        <f>-SUM(B7:B9)</f>
        <v>-82</v>
      </c>
      <c r="D9" t="s">
        <v>135</v>
      </c>
      <c r="E9" s="3">
        <f>10/32*40</f>
        <v>12.5</v>
      </c>
      <c r="F9" s="7">
        <f>-SUM(E7:E9)</f>
        <v>-96.5</v>
      </c>
      <c r="H9" s="18">
        <f>1-F11</f>
        <v>0.54666666666666663</v>
      </c>
    </row>
    <row r="10" spans="1:8" ht="15.75" thickBot="1" x14ac:dyDescent="0.3">
      <c r="A10" t="s">
        <v>136</v>
      </c>
      <c r="C10" s="19">
        <f>SUM(C5:C9)</f>
        <v>68</v>
      </c>
      <c r="F10" s="29">
        <f>SUM(F5:F9)</f>
        <v>80.024390243902445</v>
      </c>
      <c r="H10" s="18"/>
    </row>
    <row r="11" spans="1:8" ht="15.75" thickTop="1" x14ac:dyDescent="0.25">
      <c r="A11" t="s">
        <v>137</v>
      </c>
      <c r="B11" t="s">
        <v>138</v>
      </c>
      <c r="C11" s="18">
        <f>+C10/C5</f>
        <v>0.45333333333333331</v>
      </c>
      <c r="F11" s="28">
        <f>+C11</f>
        <v>0.45333333333333331</v>
      </c>
      <c r="H11" s="18">
        <v>0.45329999999999998</v>
      </c>
    </row>
    <row r="12" spans="1:8" x14ac:dyDescent="0.25">
      <c r="F12" s="18">
        <f>+F10/F5</f>
        <v>0.45333333333333337</v>
      </c>
      <c r="H12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workbookViewId="0">
      <selection activeCell="C22" sqref="C22"/>
    </sheetView>
  </sheetViews>
  <sheetFormatPr defaultRowHeight="15" x14ac:dyDescent="0.25"/>
  <cols>
    <col min="1" max="1" width="11.140625" customWidth="1"/>
    <col min="2" max="2" width="19.28515625" bestFit="1" customWidth="1"/>
    <col min="4" max="4" width="13.28515625" bestFit="1" customWidth="1"/>
    <col min="7" max="7" width="13.28515625" bestFit="1" customWidth="1"/>
  </cols>
  <sheetData>
    <row r="2" spans="1:7" x14ac:dyDescent="0.25">
      <c r="A2" s="6" t="s">
        <v>139</v>
      </c>
    </row>
    <row r="4" spans="1:7" x14ac:dyDescent="0.25">
      <c r="A4" t="s">
        <v>140</v>
      </c>
      <c r="B4" t="s">
        <v>141</v>
      </c>
      <c r="C4" s="5" t="s">
        <v>12</v>
      </c>
      <c r="D4" t="s">
        <v>142</v>
      </c>
    </row>
    <row r="5" spans="1:7" x14ac:dyDescent="0.25">
      <c r="D5" t="s">
        <v>143</v>
      </c>
    </row>
    <row r="6" spans="1:7" x14ac:dyDescent="0.25">
      <c r="D6" s="30">
        <f>40/100</f>
        <v>0.4</v>
      </c>
    </row>
    <row r="8" spans="1:7" x14ac:dyDescent="0.25">
      <c r="A8" t="s">
        <v>144</v>
      </c>
      <c r="B8" t="s">
        <v>145</v>
      </c>
      <c r="C8" s="5" t="s">
        <v>12</v>
      </c>
      <c r="D8" t="s">
        <v>146</v>
      </c>
    </row>
    <row r="9" spans="1:7" x14ac:dyDescent="0.25">
      <c r="D9" t="s">
        <v>147</v>
      </c>
    </row>
    <row r="10" spans="1:7" ht="17.25" x14ac:dyDescent="0.4">
      <c r="D10" s="20">
        <f>600000/40</f>
        <v>15000</v>
      </c>
    </row>
    <row r="12" spans="1:7" x14ac:dyDescent="0.25">
      <c r="A12" t="s">
        <v>148</v>
      </c>
      <c r="B12" t="s">
        <v>149</v>
      </c>
      <c r="C12" s="5" t="s">
        <v>12</v>
      </c>
      <c r="D12" t="s">
        <v>150</v>
      </c>
      <c r="F12" s="10" t="s">
        <v>151</v>
      </c>
      <c r="G12" t="s">
        <v>152</v>
      </c>
    </row>
    <row r="13" spans="1:7" x14ac:dyDescent="0.25">
      <c r="D13" t="s">
        <v>153</v>
      </c>
      <c r="G13" t="s">
        <v>154</v>
      </c>
    </row>
    <row r="14" spans="1:7" ht="17.25" x14ac:dyDescent="0.4">
      <c r="D14" s="20">
        <f>600000/0.4</f>
        <v>1500000</v>
      </c>
      <c r="G14" s="20">
        <v>1500000</v>
      </c>
    </row>
    <row r="16" spans="1:7" x14ac:dyDescent="0.25">
      <c r="A16" t="s">
        <v>155</v>
      </c>
      <c r="B16" t="s">
        <v>156</v>
      </c>
      <c r="C16" s="5" t="s">
        <v>12</v>
      </c>
      <c r="D16" t="s">
        <v>157</v>
      </c>
    </row>
    <row r="17" spans="1:4" x14ac:dyDescent="0.25">
      <c r="D17" t="s">
        <v>158</v>
      </c>
    </row>
    <row r="18" spans="1:4" ht="17.25" x14ac:dyDescent="0.4">
      <c r="D18" s="20">
        <f>800000/40</f>
        <v>20000</v>
      </c>
    </row>
    <row r="20" spans="1:4" x14ac:dyDescent="0.25">
      <c r="B20" t="s">
        <v>159</v>
      </c>
      <c r="C20" s="5" t="s">
        <v>12</v>
      </c>
      <c r="D20" t="s">
        <v>160</v>
      </c>
    </row>
    <row r="21" spans="1:4" x14ac:dyDescent="0.25">
      <c r="D21" t="s">
        <v>161</v>
      </c>
    </row>
    <row r="22" spans="1:4" ht="17.25" x14ac:dyDescent="0.4">
      <c r="D22" s="20">
        <f>800000/0.4</f>
        <v>2000000</v>
      </c>
    </row>
    <row r="24" spans="1:4" x14ac:dyDescent="0.25">
      <c r="A24" t="s">
        <v>162</v>
      </c>
      <c r="B24" t="s">
        <v>163</v>
      </c>
    </row>
    <row r="25" spans="1:4" x14ac:dyDescent="0.25">
      <c r="B25" t="s">
        <v>164</v>
      </c>
      <c r="C25" t="s">
        <v>165</v>
      </c>
      <c r="D25" s="3">
        <f>30000*40</f>
        <v>1200000</v>
      </c>
    </row>
    <row r="26" spans="1:4" x14ac:dyDescent="0.25">
      <c r="B26" t="s">
        <v>166</v>
      </c>
      <c r="D26" s="3">
        <v>-600000</v>
      </c>
    </row>
    <row r="27" spans="1:4" ht="15.75" thickBot="1" x14ac:dyDescent="0.3">
      <c r="B27" t="s">
        <v>167</v>
      </c>
      <c r="D27" s="9">
        <f>SUM(D25:D26)</f>
        <v>600000</v>
      </c>
    </row>
    <row r="28" spans="1:4" ht="15.75" thickTop="1" x14ac:dyDescent="0.25"/>
    <row r="29" spans="1:4" x14ac:dyDescent="0.25">
      <c r="B29" t="s">
        <v>156</v>
      </c>
      <c r="C29" s="5" t="s">
        <v>12</v>
      </c>
      <c r="D29" t="s">
        <v>157</v>
      </c>
    </row>
    <row r="30" spans="1:4" x14ac:dyDescent="0.25">
      <c r="D30" t="s">
        <v>168</v>
      </c>
    </row>
    <row r="31" spans="1:4" ht="17.25" x14ac:dyDescent="0.4">
      <c r="D31" s="20">
        <f>1300000/25</f>
        <v>52000</v>
      </c>
    </row>
    <row r="33" spans="2:4" x14ac:dyDescent="0.25">
      <c r="B33" t="s">
        <v>159</v>
      </c>
      <c r="C33" s="5" t="s">
        <v>12</v>
      </c>
      <c r="D33" t="s">
        <v>160</v>
      </c>
    </row>
    <row r="34" spans="2:4" x14ac:dyDescent="0.25">
      <c r="D34" t="s">
        <v>169</v>
      </c>
    </row>
    <row r="35" spans="2:4" ht="17.25" x14ac:dyDescent="0.4">
      <c r="D35" s="20">
        <f>1300000/0.25</f>
        <v>5200000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workbookViewId="0">
      <selection activeCell="C23" sqref="C23"/>
    </sheetView>
  </sheetViews>
  <sheetFormatPr defaultRowHeight="15" x14ac:dyDescent="0.25"/>
  <cols>
    <col min="1" max="1" width="24.85546875" customWidth="1"/>
    <col min="2" max="2" width="10.85546875" customWidth="1"/>
    <col min="3" max="3" width="13.28515625" bestFit="1" customWidth="1"/>
    <col min="4" max="4" width="10.28515625" customWidth="1"/>
    <col min="6" max="6" width="10.28515625" bestFit="1" customWidth="1"/>
  </cols>
  <sheetData>
    <row r="2" spans="1:10" x14ac:dyDescent="0.25">
      <c r="A2" s="6" t="s">
        <v>170</v>
      </c>
    </row>
    <row r="5" spans="1:10" x14ac:dyDescent="0.25">
      <c r="A5" t="s">
        <v>140</v>
      </c>
    </row>
    <row r="6" spans="1:10" x14ac:dyDescent="0.25">
      <c r="C6" s="11" t="s">
        <v>128</v>
      </c>
      <c r="D6" s="11"/>
      <c r="F6" s="11" t="s">
        <v>129</v>
      </c>
      <c r="H6" t="s">
        <v>130</v>
      </c>
      <c r="J6" t="s">
        <v>171</v>
      </c>
    </row>
    <row r="7" spans="1:10" x14ac:dyDescent="0.25">
      <c r="A7" t="s">
        <v>131</v>
      </c>
      <c r="C7" s="3">
        <v>1500</v>
      </c>
      <c r="D7" s="3"/>
      <c r="E7" s="11"/>
      <c r="F7" s="22">
        <f>-F11/H11</f>
        <v>1777.4999999999998</v>
      </c>
      <c r="H7" s="18">
        <v>1</v>
      </c>
      <c r="J7" s="32" t="s">
        <v>172</v>
      </c>
    </row>
    <row r="8" spans="1:10" x14ac:dyDescent="0.25">
      <c r="A8" s="6" t="s">
        <v>132</v>
      </c>
      <c r="C8" s="3"/>
      <c r="D8" s="3"/>
      <c r="H8" s="18"/>
    </row>
    <row r="9" spans="1:10" x14ac:dyDescent="0.25">
      <c r="A9" t="s">
        <v>111</v>
      </c>
      <c r="B9" s="3">
        <v>500</v>
      </c>
      <c r="C9" s="3"/>
      <c r="D9" s="3" t="s">
        <v>173</v>
      </c>
      <c r="E9" s="3">
        <f>500*1.25</f>
        <v>625</v>
      </c>
      <c r="H9" s="18"/>
    </row>
    <row r="10" spans="1:10" x14ac:dyDescent="0.25">
      <c r="A10" t="s">
        <v>112</v>
      </c>
      <c r="B10" s="3">
        <v>300</v>
      </c>
      <c r="C10" s="3"/>
      <c r="D10" s="3" t="s">
        <v>174</v>
      </c>
      <c r="E10" s="3">
        <f>300*1.2</f>
        <v>360</v>
      </c>
      <c r="H10" s="18"/>
    </row>
    <row r="11" spans="1:10" x14ac:dyDescent="0.25">
      <c r="A11" t="s">
        <v>119</v>
      </c>
      <c r="B11" s="15">
        <v>200</v>
      </c>
      <c r="C11" s="3">
        <f>-SUM(B9:B11)</f>
        <v>-1000</v>
      </c>
      <c r="D11" s="3"/>
      <c r="E11" s="3">
        <v>200</v>
      </c>
      <c r="F11" s="7">
        <f>-SUM(E9:E11)</f>
        <v>-1185</v>
      </c>
      <c r="H11" s="18">
        <f>H7-H13</f>
        <v>0.66666666666666674</v>
      </c>
    </row>
    <row r="12" spans="1:10" ht="15.75" thickBot="1" x14ac:dyDescent="0.3">
      <c r="A12" t="s">
        <v>136</v>
      </c>
      <c r="C12" s="19">
        <f>SUM(C7:C11)</f>
        <v>500</v>
      </c>
      <c r="D12" s="31"/>
      <c r="E12" s="3"/>
      <c r="F12" s="19">
        <f>SUM(F7:F11)</f>
        <v>592.49999999999977</v>
      </c>
      <c r="H12" s="18"/>
    </row>
    <row r="13" spans="1:10" ht="15.75" thickTop="1" x14ac:dyDescent="0.25">
      <c r="A13" t="s">
        <v>137</v>
      </c>
      <c r="B13" t="s">
        <v>175</v>
      </c>
      <c r="C13" s="18">
        <f>+C12/C7</f>
        <v>0.33333333333333331</v>
      </c>
      <c r="D13" s="18"/>
      <c r="E13" s="3"/>
      <c r="F13" s="28">
        <f>+C13</f>
        <v>0.33333333333333331</v>
      </c>
      <c r="H13" s="18">
        <f>+C13</f>
        <v>0.33333333333333331</v>
      </c>
    </row>
    <row r="14" spans="1:10" x14ac:dyDescent="0.25">
      <c r="F14" s="18">
        <f>+F12/F7</f>
        <v>0.33333333333333326</v>
      </c>
      <c r="H14" s="17"/>
    </row>
    <row r="16" spans="1:10" x14ac:dyDescent="0.25">
      <c r="A16" t="s">
        <v>144</v>
      </c>
    </row>
    <row r="17" spans="1:4" x14ac:dyDescent="0.25">
      <c r="A17" s="6" t="s">
        <v>176</v>
      </c>
    </row>
    <row r="18" spans="1:4" x14ac:dyDescent="0.25">
      <c r="A18" t="s">
        <v>164</v>
      </c>
      <c r="B18" t="s">
        <v>177</v>
      </c>
      <c r="C18" s="3">
        <f>2000*500</f>
        <v>1000000</v>
      </c>
    </row>
    <row r="19" spans="1:4" x14ac:dyDescent="0.25">
      <c r="A19" t="s">
        <v>166</v>
      </c>
      <c r="C19" s="3">
        <v>-600000</v>
      </c>
    </row>
    <row r="20" spans="1:4" ht="15.75" thickBot="1" x14ac:dyDescent="0.3">
      <c r="A20" t="s">
        <v>178</v>
      </c>
      <c r="C20" s="9">
        <f>SUM(C18:C19)</f>
        <v>400000</v>
      </c>
    </row>
    <row r="21" spans="1:4" ht="15.75" thickTop="1" x14ac:dyDescent="0.25"/>
    <row r="22" spans="1:4" x14ac:dyDescent="0.25">
      <c r="A22" t="s">
        <v>179</v>
      </c>
      <c r="B22" t="s">
        <v>180</v>
      </c>
      <c r="C22" s="3">
        <v>702500</v>
      </c>
    </row>
    <row r="24" spans="1:4" x14ac:dyDescent="0.25">
      <c r="A24" t="s">
        <v>156</v>
      </c>
      <c r="B24" s="5" t="s">
        <v>12</v>
      </c>
      <c r="C24" t="s">
        <v>157</v>
      </c>
    </row>
    <row r="25" spans="1:4" x14ac:dyDescent="0.25">
      <c r="C25" t="s">
        <v>181</v>
      </c>
    </row>
    <row r="26" spans="1:4" x14ac:dyDescent="0.25">
      <c r="C26" t="s">
        <v>182</v>
      </c>
    </row>
    <row r="27" spans="1:4" ht="17.25" x14ac:dyDescent="0.4">
      <c r="C27" s="20">
        <f>1102500/315</f>
        <v>3500</v>
      </c>
    </row>
    <row r="28" spans="1:4" x14ac:dyDescent="0.25">
      <c r="A28" t="s">
        <v>183</v>
      </c>
      <c r="B28" s="5" t="s">
        <v>12</v>
      </c>
      <c r="C28" t="s">
        <v>184</v>
      </c>
    </row>
    <row r="29" spans="1:4" ht="17.25" x14ac:dyDescent="0.4">
      <c r="C29" s="20">
        <v>1500</v>
      </c>
      <c r="D29" t="s">
        <v>185</v>
      </c>
    </row>
    <row r="32" spans="1:4" x14ac:dyDescent="0.25">
      <c r="A32" t="s">
        <v>148</v>
      </c>
    </row>
    <row r="33" spans="1:3" x14ac:dyDescent="0.25">
      <c r="A33" t="s">
        <v>164</v>
      </c>
      <c r="B33" t="s">
        <v>186</v>
      </c>
      <c r="C33" s="3">
        <f>592.5*2000</f>
        <v>1185000</v>
      </c>
    </row>
    <row r="34" spans="1:3" x14ac:dyDescent="0.25">
      <c r="A34" t="s">
        <v>166</v>
      </c>
      <c r="C34" s="3">
        <v>-700000</v>
      </c>
    </row>
    <row r="35" spans="1:3" ht="15.75" thickBot="1" x14ac:dyDescent="0.3">
      <c r="A35" t="s">
        <v>187</v>
      </c>
      <c r="C35" s="9">
        <f>SUM(C33:C34)</f>
        <v>485000</v>
      </c>
    </row>
    <row r="36" spans="1:3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workbookViewId="0">
      <selection activeCell="B22" sqref="B22"/>
    </sheetView>
  </sheetViews>
  <sheetFormatPr defaultRowHeight="15" x14ac:dyDescent="0.25"/>
  <cols>
    <col min="1" max="1" width="27.42578125" bestFit="1" customWidth="1"/>
    <col min="2" max="2" width="31.85546875" bestFit="1" customWidth="1"/>
    <col min="3" max="5" width="11.5703125" bestFit="1" customWidth="1"/>
    <col min="6" max="6" width="15.7109375" customWidth="1"/>
    <col min="7" max="7" width="13.85546875" customWidth="1"/>
    <col min="8" max="8" width="14" bestFit="1" customWidth="1"/>
  </cols>
  <sheetData>
    <row r="2" spans="1:9" x14ac:dyDescent="0.25">
      <c r="A2" s="6" t="s">
        <v>188</v>
      </c>
    </row>
    <row r="4" spans="1:9" ht="17.25" x14ac:dyDescent="0.4">
      <c r="A4" t="s">
        <v>189</v>
      </c>
      <c r="C4" s="23">
        <v>1000</v>
      </c>
      <c r="D4" s="33">
        <v>1001</v>
      </c>
      <c r="E4" s="33">
        <v>1002</v>
      </c>
      <c r="F4" s="33">
        <v>1100</v>
      </c>
      <c r="G4" s="33"/>
    </row>
    <row r="5" spans="1:9" x14ac:dyDescent="0.25">
      <c r="A5" t="s">
        <v>190</v>
      </c>
      <c r="C5" s="3">
        <f>+C4*100</f>
        <v>100000</v>
      </c>
      <c r="D5" s="3">
        <f>+D4*100</f>
        <v>100100</v>
      </c>
      <c r="E5" s="3">
        <f>+E4*100</f>
        <v>100200</v>
      </c>
      <c r="F5" s="3">
        <f>+F4*100</f>
        <v>110000</v>
      </c>
      <c r="G5" s="3"/>
      <c r="H5" s="3"/>
      <c r="I5" s="3"/>
    </row>
    <row r="6" spans="1:9" x14ac:dyDescent="0.25">
      <c r="A6" t="s">
        <v>191</v>
      </c>
      <c r="C6" s="15">
        <f>-C4*60</f>
        <v>-60000</v>
      </c>
      <c r="D6" s="15">
        <f>-D4*60</f>
        <v>-60060</v>
      </c>
      <c r="E6" s="15">
        <f>-E4*60</f>
        <v>-60120</v>
      </c>
      <c r="F6" s="15">
        <f>-F4*60</f>
        <v>-66000</v>
      </c>
      <c r="G6" s="3"/>
      <c r="H6" s="3"/>
      <c r="I6" s="3"/>
    </row>
    <row r="7" spans="1:9" x14ac:dyDescent="0.25">
      <c r="A7" t="s">
        <v>192</v>
      </c>
      <c r="C7" s="7">
        <f>SUM(C5:C6)</f>
        <v>40000</v>
      </c>
      <c r="D7" s="7">
        <f>SUM(D5:D6)</f>
        <v>40040</v>
      </c>
      <c r="E7" s="3">
        <f>SUM(E5:E6)</f>
        <v>40080</v>
      </c>
      <c r="F7" s="3">
        <f>SUM(F5:F6)</f>
        <v>44000</v>
      </c>
      <c r="G7" s="3"/>
      <c r="H7" s="3"/>
      <c r="I7" s="3"/>
    </row>
    <row r="8" spans="1:9" x14ac:dyDescent="0.25">
      <c r="A8" t="s">
        <v>166</v>
      </c>
      <c r="C8" s="3">
        <v>-40000</v>
      </c>
      <c r="D8" s="3">
        <f>+C8</f>
        <v>-40000</v>
      </c>
      <c r="E8" s="3">
        <f>+D8</f>
        <v>-40000</v>
      </c>
      <c r="F8" s="3">
        <f>+E8</f>
        <v>-40000</v>
      </c>
      <c r="G8" s="3"/>
      <c r="H8" s="3"/>
      <c r="I8" s="3"/>
    </row>
    <row r="9" spans="1:9" ht="15.75" thickBot="1" x14ac:dyDescent="0.3">
      <c r="A9" t="s">
        <v>187</v>
      </c>
      <c r="C9" s="9">
        <f>SUM(C7:C8)</f>
        <v>0</v>
      </c>
      <c r="D9" s="9">
        <f>SUM(D7:D8)</f>
        <v>40</v>
      </c>
      <c r="E9" s="19">
        <f>SUM(E7:E8)</f>
        <v>80</v>
      </c>
      <c r="F9" s="19">
        <f>SUM(F7:F8)</f>
        <v>4000</v>
      </c>
      <c r="G9" s="3"/>
      <c r="H9" s="3"/>
      <c r="I9" s="3"/>
    </row>
    <row r="10" spans="1:9" ht="15.75" thickTop="1" x14ac:dyDescent="0.25">
      <c r="A10" s="10" t="s">
        <v>137</v>
      </c>
      <c r="B10" s="10" t="s">
        <v>193</v>
      </c>
      <c r="C10" s="34">
        <f>+C7/C5</f>
        <v>0.4</v>
      </c>
      <c r="D10" s="34">
        <f>+D7/D5</f>
        <v>0.4</v>
      </c>
      <c r="E10" s="34">
        <f>+E7/E5</f>
        <v>0.4</v>
      </c>
      <c r="F10" s="34">
        <f>+F7/F5</f>
        <v>0.4</v>
      </c>
    </row>
    <row r="11" spans="1:9" x14ac:dyDescent="0.25">
      <c r="A11" s="10" t="s">
        <v>137</v>
      </c>
      <c r="B11" s="10" t="s">
        <v>194</v>
      </c>
      <c r="D11" t="s">
        <v>195</v>
      </c>
      <c r="E11" t="s">
        <v>196</v>
      </c>
      <c r="F11" t="s">
        <v>197</v>
      </c>
    </row>
    <row r="12" spans="1:9" x14ac:dyDescent="0.25">
      <c r="F12" t="s">
        <v>198</v>
      </c>
      <c r="H12" s="17"/>
    </row>
    <row r="14" spans="1:9" x14ac:dyDescent="0.25">
      <c r="B14" s="10" t="s">
        <v>199</v>
      </c>
    </row>
    <row r="17" spans="1:8" x14ac:dyDescent="0.25">
      <c r="A17" t="s">
        <v>200</v>
      </c>
      <c r="B17" t="s">
        <v>150</v>
      </c>
      <c r="D17" t="s">
        <v>201</v>
      </c>
      <c r="G17" t="s">
        <v>202</v>
      </c>
    </row>
    <row r="18" spans="1:8" x14ac:dyDescent="0.25">
      <c r="B18" t="s">
        <v>203</v>
      </c>
      <c r="D18" t="s">
        <v>204</v>
      </c>
      <c r="G18" t="s">
        <v>109</v>
      </c>
      <c r="H18" s="3">
        <v>5000000</v>
      </c>
    </row>
    <row r="19" spans="1:8" ht="17.25" x14ac:dyDescent="0.4">
      <c r="B19" s="20">
        <f>500000/0.2</f>
        <v>2500000</v>
      </c>
      <c r="D19" t="s">
        <v>205</v>
      </c>
      <c r="G19" t="s">
        <v>206</v>
      </c>
      <c r="H19" s="3">
        <f>-H18*0.8</f>
        <v>-4000000</v>
      </c>
    </row>
    <row r="20" spans="1:8" x14ac:dyDescent="0.25">
      <c r="D20" s="18">
        <f>500000/2500000</f>
        <v>0.2</v>
      </c>
      <c r="G20" t="s">
        <v>192</v>
      </c>
      <c r="H20" s="7">
        <f>SUM(H18:H19)</f>
        <v>1000000</v>
      </c>
    </row>
    <row r="21" spans="1:8" x14ac:dyDescent="0.25">
      <c r="G21" t="s">
        <v>207</v>
      </c>
      <c r="H21" s="24">
        <f>H22-H20</f>
        <v>-500000</v>
      </c>
    </row>
    <row r="22" spans="1:8" ht="15.75" thickBot="1" x14ac:dyDescent="0.3">
      <c r="H22" s="19">
        <v>500000</v>
      </c>
    </row>
    <row r="23" spans="1:8" ht="15.75" thickTop="1" x14ac:dyDescent="0.25">
      <c r="A23" t="s">
        <v>208</v>
      </c>
      <c r="B23" t="s">
        <v>209</v>
      </c>
    </row>
    <row r="24" spans="1:8" x14ac:dyDescent="0.25">
      <c r="B24" t="s">
        <v>210</v>
      </c>
    </row>
    <row r="25" spans="1:8" ht="17.25" x14ac:dyDescent="0.4">
      <c r="B25" s="20">
        <f>2000000/0.2</f>
        <v>10000000</v>
      </c>
    </row>
    <row r="27" spans="1:8" x14ac:dyDescent="0.25">
      <c r="A27" t="s">
        <v>211</v>
      </c>
      <c r="B27" s="3">
        <v>6000000</v>
      </c>
    </row>
    <row r="28" spans="1:8" x14ac:dyDescent="0.25">
      <c r="A28" t="s">
        <v>132</v>
      </c>
      <c r="B28" s="15">
        <f>-B27*0.8</f>
        <v>-4800000</v>
      </c>
    </row>
    <row r="29" spans="1:8" x14ac:dyDescent="0.25">
      <c r="A29" t="s">
        <v>192</v>
      </c>
      <c r="B29" s="7">
        <f>SUM(B27:B28)</f>
        <v>1200000</v>
      </c>
    </row>
    <row r="30" spans="1:8" x14ac:dyDescent="0.25">
      <c r="A30" t="s">
        <v>212</v>
      </c>
      <c r="B30" s="3">
        <v>-500000</v>
      </c>
    </row>
    <row r="31" spans="1:8" ht="15.75" thickBot="1" x14ac:dyDescent="0.3">
      <c r="A31" t="s">
        <v>187</v>
      </c>
      <c r="B31" s="9">
        <f>SUM(B29:B30)</f>
        <v>700000</v>
      </c>
    </row>
    <row r="32" spans="1:8" ht="15.75" thickTop="1" x14ac:dyDescent="0.25"/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workbookViewId="0">
      <selection activeCell="E23" sqref="E23"/>
    </sheetView>
  </sheetViews>
  <sheetFormatPr defaultRowHeight="15" x14ac:dyDescent="0.25"/>
  <cols>
    <col min="1" max="1" width="15.140625" bestFit="1" customWidth="1"/>
    <col min="2" max="2" width="12.28515625" bestFit="1" customWidth="1"/>
    <col min="3" max="3" width="13.42578125" customWidth="1"/>
    <col min="4" max="5" width="12.28515625" bestFit="1" customWidth="1"/>
    <col min="7" max="7" width="12.28515625" bestFit="1" customWidth="1"/>
  </cols>
  <sheetData>
    <row r="2" spans="1:18" x14ac:dyDescent="0.25">
      <c r="A2" s="6" t="s">
        <v>213</v>
      </c>
    </row>
    <row r="4" spans="1:18" x14ac:dyDescent="0.25">
      <c r="A4" s="6" t="s">
        <v>214</v>
      </c>
    </row>
    <row r="5" spans="1:18" x14ac:dyDescent="0.25">
      <c r="G5" t="s">
        <v>215</v>
      </c>
    </row>
    <row r="6" spans="1:18" x14ac:dyDescent="0.25">
      <c r="A6" t="s">
        <v>216</v>
      </c>
      <c r="B6" s="35" t="s">
        <v>217</v>
      </c>
      <c r="C6" s="35" t="s">
        <v>218</v>
      </c>
      <c r="D6" s="35" t="s">
        <v>219</v>
      </c>
    </row>
    <row r="7" spans="1:18" x14ac:dyDescent="0.25">
      <c r="A7" t="s">
        <v>109</v>
      </c>
      <c r="B7" s="3">
        <v>300000</v>
      </c>
      <c r="C7" s="3">
        <v>80000</v>
      </c>
      <c r="D7" s="3">
        <v>120000</v>
      </c>
      <c r="E7" s="7">
        <f>SUM(B7:D7)</f>
        <v>500000</v>
      </c>
      <c r="G7" s="3">
        <v>50000</v>
      </c>
    </row>
    <row r="8" spans="1:18" x14ac:dyDescent="0.25">
      <c r="A8" t="s">
        <v>132</v>
      </c>
      <c r="B8" s="3">
        <v>-240000</v>
      </c>
      <c r="C8" s="3">
        <v>-40000</v>
      </c>
      <c r="D8" s="3">
        <v>-70000</v>
      </c>
      <c r="G8" s="3">
        <v>40000</v>
      </c>
      <c r="L8" t="s">
        <v>220</v>
      </c>
      <c r="M8" t="s">
        <v>221</v>
      </c>
    </row>
    <row r="9" spans="1:18" x14ac:dyDescent="0.25">
      <c r="A9" t="s">
        <v>192</v>
      </c>
      <c r="B9" s="7">
        <f>SUM(B7:B8)</f>
        <v>60000</v>
      </c>
      <c r="C9" s="7">
        <f t="shared" ref="C9:D9" si="0">SUM(C7:C8)</f>
        <v>40000</v>
      </c>
      <c r="D9" s="7">
        <f t="shared" si="0"/>
        <v>50000</v>
      </c>
      <c r="G9" s="3">
        <v>30000</v>
      </c>
    </row>
    <row r="10" spans="1:18" x14ac:dyDescent="0.25">
      <c r="A10" t="s">
        <v>141</v>
      </c>
      <c r="B10" s="18">
        <f>B9/B7</f>
        <v>0.2</v>
      </c>
      <c r="C10" s="18">
        <f t="shared" ref="C10:D10" si="1">C9/C7</f>
        <v>0.5</v>
      </c>
      <c r="D10" s="18">
        <f t="shared" si="1"/>
        <v>0.41666666666666669</v>
      </c>
      <c r="G10" s="3">
        <v>20000</v>
      </c>
    </row>
    <row r="11" spans="1:18" x14ac:dyDescent="0.25">
      <c r="A11" s="6" t="s">
        <v>222</v>
      </c>
      <c r="B11">
        <v>3</v>
      </c>
      <c r="C11">
        <v>1</v>
      </c>
      <c r="D11">
        <v>2</v>
      </c>
      <c r="G11" s="3">
        <v>10000</v>
      </c>
    </row>
    <row r="12" spans="1:18" x14ac:dyDescent="0.25">
      <c r="G12" s="3">
        <v>0</v>
      </c>
    </row>
    <row r="13" spans="1:18" x14ac:dyDescent="0.25">
      <c r="A13" s="6" t="s">
        <v>223</v>
      </c>
      <c r="G13" s="3">
        <v>-10000</v>
      </c>
      <c r="I13">
        <v>100000</v>
      </c>
      <c r="K13">
        <v>200000</v>
      </c>
      <c r="M13">
        <v>300000</v>
      </c>
      <c r="N13" s="25" t="s">
        <v>224</v>
      </c>
      <c r="O13">
        <v>400000</v>
      </c>
      <c r="Q13">
        <v>500000</v>
      </c>
      <c r="R13" t="s">
        <v>109</v>
      </c>
    </row>
    <row r="14" spans="1:18" x14ac:dyDescent="0.25">
      <c r="G14" s="3">
        <v>-20000</v>
      </c>
    </row>
    <row r="15" spans="1:18" x14ac:dyDescent="0.25">
      <c r="A15" s="13" t="s">
        <v>225</v>
      </c>
      <c r="B15" s="13" t="s">
        <v>226</v>
      </c>
      <c r="C15" s="36" t="s">
        <v>227</v>
      </c>
      <c r="D15" s="37" t="s">
        <v>207</v>
      </c>
      <c r="E15" s="13" t="s">
        <v>228</v>
      </c>
      <c r="G15" s="3">
        <v>-30000</v>
      </c>
      <c r="P15" t="s">
        <v>229</v>
      </c>
    </row>
    <row r="16" spans="1:18" x14ac:dyDescent="0.25">
      <c r="A16" s="3">
        <v>0</v>
      </c>
      <c r="B16" s="3">
        <v>0</v>
      </c>
      <c r="C16" s="3">
        <v>0</v>
      </c>
      <c r="D16" s="3">
        <v>-100000</v>
      </c>
      <c r="E16" s="7">
        <f>SUM(C16:D16)</f>
        <v>-100000</v>
      </c>
      <c r="G16" s="3">
        <v>-40000</v>
      </c>
    </row>
    <row r="17" spans="1:16" x14ac:dyDescent="0.25">
      <c r="A17" t="s">
        <v>218</v>
      </c>
      <c r="B17" s="7">
        <f>+C7</f>
        <v>80000</v>
      </c>
      <c r="C17" s="7">
        <f>+C9</f>
        <v>40000</v>
      </c>
      <c r="D17" s="7">
        <f>+D16</f>
        <v>-100000</v>
      </c>
      <c r="E17" s="7">
        <f>SUM(C17:D17)</f>
        <v>-60000</v>
      </c>
      <c r="G17" s="3">
        <v>-50000</v>
      </c>
      <c r="O17" t="s">
        <v>224</v>
      </c>
      <c r="P17" s="38">
        <v>335000</v>
      </c>
    </row>
    <row r="18" spans="1:16" x14ac:dyDescent="0.25">
      <c r="A18" t="s">
        <v>230</v>
      </c>
      <c r="B18" s="7">
        <f>+B17+D7</f>
        <v>200000</v>
      </c>
      <c r="C18" s="7">
        <f>+C9+D9</f>
        <v>90000</v>
      </c>
      <c r="D18" s="7">
        <f>+D17</f>
        <v>-100000</v>
      </c>
      <c r="E18" s="7">
        <f>SUM(C18:D18)</f>
        <v>-10000</v>
      </c>
      <c r="G18" s="3">
        <v>-60000</v>
      </c>
      <c r="L18" t="s">
        <v>231</v>
      </c>
      <c r="O18" t="s">
        <v>229</v>
      </c>
      <c r="P18" s="38">
        <v>165000</v>
      </c>
    </row>
    <row r="19" spans="1:16" x14ac:dyDescent="0.25">
      <c r="A19" t="s">
        <v>232</v>
      </c>
      <c r="B19" s="7">
        <f>+B18+B7</f>
        <v>500000</v>
      </c>
      <c r="C19" s="7">
        <f>+C18+B9</f>
        <v>150000</v>
      </c>
      <c r="D19" s="7">
        <f>+D18</f>
        <v>-100000</v>
      </c>
      <c r="E19" s="7">
        <f>SUM(C19:D19)</f>
        <v>50000</v>
      </c>
      <c r="G19" s="3">
        <v>-70000</v>
      </c>
    </row>
    <row r="20" spans="1:16" x14ac:dyDescent="0.25">
      <c r="G20" s="3">
        <v>-80000</v>
      </c>
    </row>
    <row r="21" spans="1:16" x14ac:dyDescent="0.25">
      <c r="G21" s="3">
        <v>-90000</v>
      </c>
    </row>
    <row r="22" spans="1:16" x14ac:dyDescent="0.25">
      <c r="G22" s="3">
        <v>-100000</v>
      </c>
    </row>
    <row r="26" spans="1:16" x14ac:dyDescent="0.25">
      <c r="A26" s="13" t="s">
        <v>233</v>
      </c>
    </row>
    <row r="28" spans="1:16" x14ac:dyDescent="0.25">
      <c r="A28" t="s">
        <v>224</v>
      </c>
      <c r="B28" s="5" t="s">
        <v>12</v>
      </c>
      <c r="C28" t="s">
        <v>234</v>
      </c>
    </row>
    <row r="30" spans="1:16" x14ac:dyDescent="0.25">
      <c r="B30" s="5" t="s">
        <v>12</v>
      </c>
      <c r="C30" t="s">
        <v>235</v>
      </c>
    </row>
    <row r="32" spans="1:16" ht="15.75" thickBot="1" x14ac:dyDescent="0.3">
      <c r="B32" s="5" t="s">
        <v>12</v>
      </c>
      <c r="C32" s="44">
        <f>100000/0.3</f>
        <v>333333.33333333337</v>
      </c>
    </row>
    <row r="33" spans="1:3" ht="15.75" thickTop="1" x14ac:dyDescent="0.25"/>
    <row r="35" spans="1:3" x14ac:dyDescent="0.25">
      <c r="A35" t="s">
        <v>236</v>
      </c>
      <c r="B35" s="5" t="s">
        <v>12</v>
      </c>
      <c r="C35" t="s">
        <v>237</v>
      </c>
    </row>
    <row r="36" spans="1:3" x14ac:dyDescent="0.25">
      <c r="C36" t="s">
        <v>238</v>
      </c>
    </row>
    <row r="37" spans="1:3" x14ac:dyDescent="0.25">
      <c r="C37" s="18">
        <f>150000/500000</f>
        <v>0.3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2"/>
  <sheetViews>
    <sheetView workbookViewId="0">
      <selection activeCell="B21" sqref="B21"/>
    </sheetView>
  </sheetViews>
  <sheetFormatPr defaultRowHeight="15" x14ac:dyDescent="0.25"/>
  <cols>
    <col min="1" max="1" width="18.5703125" customWidth="1"/>
    <col min="2" max="2" width="13.28515625" customWidth="1"/>
    <col min="3" max="5" width="14" bestFit="1" customWidth="1"/>
    <col min="6" max="6" width="10.5703125" bestFit="1" customWidth="1"/>
    <col min="8" max="8" width="11.28515625" bestFit="1" customWidth="1"/>
    <col min="10" max="10" width="13.28515625" bestFit="1" customWidth="1"/>
  </cols>
  <sheetData>
    <row r="2" spans="1:17" x14ac:dyDescent="0.25">
      <c r="A2" s="6" t="s">
        <v>239</v>
      </c>
    </row>
    <row r="4" spans="1:17" x14ac:dyDescent="0.25">
      <c r="B4" s="37" t="s">
        <v>217</v>
      </c>
      <c r="C4" s="37" t="s">
        <v>218</v>
      </c>
      <c r="D4" s="37" t="s">
        <v>219</v>
      </c>
    </row>
    <row r="5" spans="1:17" ht="17.25" x14ac:dyDescent="0.4">
      <c r="A5" s="8" t="s">
        <v>189</v>
      </c>
      <c r="B5" s="23">
        <f>36000/6*1</f>
        <v>6000</v>
      </c>
      <c r="C5" s="23">
        <f>36000/6*2</f>
        <v>12000</v>
      </c>
      <c r="D5" s="23">
        <f>36000/6*3</f>
        <v>18000</v>
      </c>
      <c r="E5" s="7">
        <f>SUM(B5:D5)</f>
        <v>36000</v>
      </c>
    </row>
    <row r="6" spans="1:17" x14ac:dyDescent="0.25">
      <c r="A6" t="s">
        <v>240</v>
      </c>
      <c r="B6" s="3">
        <v>100</v>
      </c>
      <c r="C6" s="3">
        <v>160</v>
      </c>
      <c r="D6" s="3">
        <v>240</v>
      </c>
      <c r="H6" s="43" t="s">
        <v>187</v>
      </c>
    </row>
    <row r="7" spans="1:17" x14ac:dyDescent="0.25">
      <c r="A7" t="s">
        <v>241</v>
      </c>
      <c r="B7" s="3">
        <v>55</v>
      </c>
      <c r="C7" s="3">
        <v>100</v>
      </c>
      <c r="D7" s="3">
        <v>200</v>
      </c>
      <c r="H7" s="42">
        <v>300000</v>
      </c>
      <c r="L7" t="s">
        <v>221</v>
      </c>
    </row>
    <row r="8" spans="1:17" x14ac:dyDescent="0.25">
      <c r="A8" t="s">
        <v>242</v>
      </c>
      <c r="B8" s="3">
        <f>B5*B6</f>
        <v>600000</v>
      </c>
      <c r="C8" s="3">
        <f t="shared" ref="C8:D8" si="0">C5*C6</f>
        <v>1920000</v>
      </c>
      <c r="D8" s="3">
        <f t="shared" si="0"/>
        <v>4320000</v>
      </c>
      <c r="E8" s="7">
        <f>SUM(B8:D8)</f>
        <v>6840000</v>
      </c>
      <c r="H8" s="42">
        <v>200000</v>
      </c>
    </row>
    <row r="9" spans="1:17" x14ac:dyDescent="0.25">
      <c r="A9" t="s">
        <v>50</v>
      </c>
      <c r="B9" s="7">
        <f>-B5*B7</f>
        <v>-330000</v>
      </c>
      <c r="C9" s="7">
        <f t="shared" ref="C9:D9" si="1">-C5*C7</f>
        <v>-1200000</v>
      </c>
      <c r="D9" s="7">
        <f t="shared" si="1"/>
        <v>-3600000</v>
      </c>
      <c r="H9" s="42">
        <v>100000</v>
      </c>
    </row>
    <row r="10" spans="1:17" x14ac:dyDescent="0.25">
      <c r="A10" t="s">
        <v>192</v>
      </c>
      <c r="B10" s="7">
        <f>SUM(B8:B9)</f>
        <v>270000</v>
      </c>
      <c r="C10" s="7">
        <f>SUM(C8:C9)</f>
        <v>720000</v>
      </c>
      <c r="D10" s="7">
        <f>SUM(D8:D9)</f>
        <v>720000</v>
      </c>
      <c r="H10" s="42">
        <v>0</v>
      </c>
    </row>
    <row r="11" spans="1:17" x14ac:dyDescent="0.25">
      <c r="A11" t="s">
        <v>141</v>
      </c>
      <c r="B11" s="18">
        <f>B10/B8</f>
        <v>0.45</v>
      </c>
      <c r="C11" s="18">
        <f t="shared" ref="C11:D11" si="2">C10/C8</f>
        <v>0.375</v>
      </c>
      <c r="D11" s="18">
        <f t="shared" si="2"/>
        <v>0.16666666666666666</v>
      </c>
      <c r="H11" s="42">
        <v>-100000</v>
      </c>
      <c r="I11">
        <v>1000000</v>
      </c>
      <c r="J11">
        <v>2000000</v>
      </c>
      <c r="K11">
        <v>3000000</v>
      </c>
      <c r="L11">
        <v>4000000</v>
      </c>
      <c r="M11">
        <v>5000000</v>
      </c>
      <c r="N11">
        <v>6000000</v>
      </c>
      <c r="O11">
        <v>7000000</v>
      </c>
      <c r="Q11" s="6" t="s">
        <v>109</v>
      </c>
    </row>
    <row r="12" spans="1:17" x14ac:dyDescent="0.25">
      <c r="A12" s="40" t="s">
        <v>243</v>
      </c>
      <c r="B12" s="40">
        <v>1</v>
      </c>
      <c r="C12" s="40">
        <v>2</v>
      </c>
      <c r="D12" s="40">
        <v>3</v>
      </c>
      <c r="H12" s="42">
        <v>-200000</v>
      </c>
      <c r="N12" t="s">
        <v>224</v>
      </c>
    </row>
    <row r="13" spans="1:17" x14ac:dyDescent="0.25">
      <c r="H13" s="42">
        <v>-300000</v>
      </c>
      <c r="O13" t="s">
        <v>229</v>
      </c>
    </row>
    <row r="14" spans="1:17" x14ac:dyDescent="0.25">
      <c r="A14" s="13" t="s">
        <v>244</v>
      </c>
      <c r="B14" s="37" t="s">
        <v>245</v>
      </c>
      <c r="C14" s="37" t="s">
        <v>246</v>
      </c>
      <c r="D14" s="37" t="s">
        <v>207</v>
      </c>
      <c r="E14" s="37" t="s">
        <v>247</v>
      </c>
      <c r="H14" s="42">
        <v>-400000</v>
      </c>
    </row>
    <row r="15" spans="1:17" x14ac:dyDescent="0.25">
      <c r="A15" s="3">
        <v>0</v>
      </c>
      <c r="B15" s="3">
        <v>0</v>
      </c>
      <c r="C15" s="3">
        <v>0</v>
      </c>
      <c r="D15" s="3">
        <v>-1500000</v>
      </c>
      <c r="E15" s="3">
        <f>SUM(C15:D15)</f>
        <v>-1500000</v>
      </c>
      <c r="H15" s="42">
        <v>-500000</v>
      </c>
      <c r="O15" t="s">
        <v>224</v>
      </c>
      <c r="P15">
        <v>5400000</v>
      </c>
    </row>
    <row r="16" spans="1:17" x14ac:dyDescent="0.25">
      <c r="A16" t="s">
        <v>217</v>
      </c>
      <c r="B16" s="7">
        <f>+B8</f>
        <v>600000</v>
      </c>
      <c r="C16" s="7">
        <f>+B10</f>
        <v>270000</v>
      </c>
      <c r="D16" s="7">
        <f>+D15</f>
        <v>-1500000</v>
      </c>
      <c r="E16" s="7">
        <f>SUM(C16:D16)</f>
        <v>-1230000</v>
      </c>
      <c r="H16" s="42">
        <v>-600000</v>
      </c>
      <c r="O16" t="s">
        <v>229</v>
      </c>
      <c r="P16">
        <v>1440000</v>
      </c>
    </row>
    <row r="17" spans="1:13" x14ac:dyDescent="0.25">
      <c r="A17" t="s">
        <v>248</v>
      </c>
      <c r="B17" s="7">
        <f>+B16+C8</f>
        <v>2520000</v>
      </c>
      <c r="C17" s="7">
        <f>+C16+C10</f>
        <v>990000</v>
      </c>
      <c r="D17" s="7">
        <f>+D16</f>
        <v>-1500000</v>
      </c>
      <c r="E17" s="7">
        <f>SUM(C17:D17)</f>
        <v>-510000</v>
      </c>
      <c r="H17" s="42">
        <v>-700000</v>
      </c>
      <c r="M17" t="s">
        <v>249</v>
      </c>
    </row>
    <row r="18" spans="1:13" x14ac:dyDescent="0.25">
      <c r="A18" t="s">
        <v>250</v>
      </c>
      <c r="B18" s="7">
        <f>+B17+D8</f>
        <v>6840000</v>
      </c>
      <c r="C18" s="7">
        <f>+C17+D10</f>
        <v>1710000</v>
      </c>
      <c r="D18" s="7">
        <f>+D17</f>
        <v>-1500000</v>
      </c>
      <c r="E18" s="7">
        <f>SUM(C18:D18)</f>
        <v>210000</v>
      </c>
      <c r="H18" s="42">
        <v>-800000</v>
      </c>
    </row>
    <row r="19" spans="1:13" x14ac:dyDescent="0.25">
      <c r="H19" s="42">
        <v>-900000</v>
      </c>
    </row>
    <row r="20" spans="1:13" x14ac:dyDescent="0.25">
      <c r="A20" t="s">
        <v>251</v>
      </c>
      <c r="B20" s="18">
        <f>C18/B18</f>
        <v>0.25</v>
      </c>
      <c r="C20" t="s">
        <v>252</v>
      </c>
      <c r="H20" s="42">
        <v>-1000000</v>
      </c>
    </row>
    <row r="21" spans="1:13" x14ac:dyDescent="0.25">
      <c r="H21" s="42">
        <v>-1100000</v>
      </c>
    </row>
    <row r="22" spans="1:13" x14ac:dyDescent="0.25">
      <c r="H22" s="42">
        <v>-1200000</v>
      </c>
    </row>
    <row r="23" spans="1:13" x14ac:dyDescent="0.25">
      <c r="H23" s="42">
        <v>-1300000</v>
      </c>
    </row>
    <row r="24" spans="1:13" x14ac:dyDescent="0.25">
      <c r="H24" s="42">
        <v>-1400000</v>
      </c>
    </row>
    <row r="25" spans="1:13" x14ac:dyDescent="0.25">
      <c r="H25" s="42">
        <v>-1500000</v>
      </c>
    </row>
    <row r="26" spans="1:13" x14ac:dyDescent="0.25">
      <c r="H26" s="42"/>
    </row>
    <row r="28" spans="1:13" x14ac:dyDescent="0.25">
      <c r="A28" t="s">
        <v>253</v>
      </c>
    </row>
    <row r="29" spans="1:13" x14ac:dyDescent="0.25">
      <c r="A29" t="s">
        <v>254</v>
      </c>
      <c r="B29" t="s">
        <v>255</v>
      </c>
      <c r="C29" s="7">
        <f>B18*0.2</f>
        <v>1368000</v>
      </c>
    </row>
    <row r="30" spans="1:13" x14ac:dyDescent="0.25">
      <c r="A30" t="s">
        <v>256</v>
      </c>
      <c r="B30" t="s">
        <v>257</v>
      </c>
      <c r="C30" s="3">
        <f>+C29*0.25</f>
        <v>342000</v>
      </c>
    </row>
    <row r="31" spans="1:13" x14ac:dyDescent="0.25">
      <c r="A31" t="s">
        <v>258</v>
      </c>
      <c r="C31" s="7">
        <f>+C30</f>
        <v>342000</v>
      </c>
    </row>
    <row r="35" spans="1:3" x14ac:dyDescent="0.25">
      <c r="A35" s="13" t="s">
        <v>259</v>
      </c>
    </row>
    <row r="37" spans="1:3" x14ac:dyDescent="0.25">
      <c r="A37" t="s">
        <v>224</v>
      </c>
      <c r="B37" s="5" t="s">
        <v>12</v>
      </c>
      <c r="C37" t="s">
        <v>234</v>
      </c>
    </row>
    <row r="39" spans="1:3" x14ac:dyDescent="0.25">
      <c r="B39" s="5" t="s">
        <v>12</v>
      </c>
      <c r="C39" t="s">
        <v>260</v>
      </c>
    </row>
    <row r="41" spans="1:3" ht="15.75" thickBot="1" x14ac:dyDescent="0.3">
      <c r="B41" s="5" t="s">
        <v>12</v>
      </c>
      <c r="C41" s="44">
        <f>1500000/0.25</f>
        <v>6000000</v>
      </c>
    </row>
    <row r="42" spans="1:3" ht="15.75" thickTop="1" x14ac:dyDescent="0.25"/>
    <row r="44" spans="1:3" x14ac:dyDescent="0.25">
      <c r="A44" t="s">
        <v>236</v>
      </c>
      <c r="B44" s="5" t="s">
        <v>12</v>
      </c>
      <c r="C44" t="s">
        <v>237</v>
      </c>
    </row>
    <row r="45" spans="1:3" x14ac:dyDescent="0.25">
      <c r="C45" t="s">
        <v>261</v>
      </c>
    </row>
    <row r="46" spans="1:3" x14ac:dyDescent="0.25">
      <c r="C46" s="18">
        <v>0.25</v>
      </c>
    </row>
    <row r="49" spans="1:10" x14ac:dyDescent="0.25">
      <c r="A49" t="s">
        <v>262</v>
      </c>
      <c r="B49" s="5" t="s">
        <v>12</v>
      </c>
      <c r="C49" s="39" t="s">
        <v>263</v>
      </c>
      <c r="D49" t="s">
        <v>264</v>
      </c>
    </row>
    <row r="50" spans="1:10" x14ac:dyDescent="0.25">
      <c r="C50" t="s">
        <v>265</v>
      </c>
    </row>
    <row r="52" spans="1:10" x14ac:dyDescent="0.25">
      <c r="C52" s="45">
        <f>+E5</f>
        <v>36000</v>
      </c>
      <c r="D52" t="s">
        <v>266</v>
      </c>
    </row>
    <row r="53" spans="1:10" x14ac:dyDescent="0.25">
      <c r="C53" s="7">
        <f>+E8</f>
        <v>6840000</v>
      </c>
    </row>
    <row r="55" spans="1:10" ht="17.25" x14ac:dyDescent="0.4">
      <c r="C55" s="20">
        <f>C52/C53*6000000</f>
        <v>31578.947368421053</v>
      </c>
      <c r="D55" t="s">
        <v>267</v>
      </c>
    </row>
    <row r="57" spans="1:10" x14ac:dyDescent="0.25">
      <c r="C57" s="11" t="s">
        <v>268</v>
      </c>
      <c r="D57" s="11" t="s">
        <v>145</v>
      </c>
    </row>
    <row r="58" spans="1:10" x14ac:dyDescent="0.25">
      <c r="B58" t="s">
        <v>217</v>
      </c>
      <c r="C58">
        <v>1</v>
      </c>
      <c r="D58" s="3">
        <f>D61/C61*C58</f>
        <v>5263.1578947368425</v>
      </c>
    </row>
    <row r="59" spans="1:10" x14ac:dyDescent="0.25">
      <c r="B59" t="s">
        <v>218</v>
      </c>
      <c r="C59">
        <v>2</v>
      </c>
      <c r="D59" s="3">
        <f>+D61/C61*C59</f>
        <v>10526.315789473685</v>
      </c>
    </row>
    <row r="60" spans="1:10" x14ac:dyDescent="0.25">
      <c r="B60" t="s">
        <v>219</v>
      </c>
      <c r="C60">
        <v>3</v>
      </c>
      <c r="D60" s="3">
        <f>+D61/C61*C60</f>
        <v>15789.473684210527</v>
      </c>
    </row>
    <row r="61" spans="1:10" ht="15.75" thickBot="1" x14ac:dyDescent="0.3">
      <c r="C61" s="29">
        <f>SUM(C58:C60)</f>
        <v>6</v>
      </c>
      <c r="D61" s="9">
        <f>+C55</f>
        <v>31578.947368421053</v>
      </c>
    </row>
    <row r="62" spans="1:10" ht="15.75" thickTop="1" x14ac:dyDescent="0.25"/>
    <row r="64" spans="1:10" x14ac:dyDescent="0.25">
      <c r="A64" s="13" t="s">
        <v>269</v>
      </c>
      <c r="B64" s="13" t="s">
        <v>270</v>
      </c>
      <c r="C64" s="13" t="s">
        <v>271</v>
      </c>
      <c r="D64" s="13" t="s">
        <v>270</v>
      </c>
      <c r="E64" s="13" t="s">
        <v>240</v>
      </c>
      <c r="F64" s="37" t="s">
        <v>272</v>
      </c>
      <c r="J64" s="3"/>
    </row>
    <row r="65" spans="1:10" x14ac:dyDescent="0.25">
      <c r="A65" t="s">
        <v>217</v>
      </c>
      <c r="B65" s="3">
        <v>6000000</v>
      </c>
      <c r="C65" t="s">
        <v>273</v>
      </c>
      <c r="D65" s="3">
        <f>B65/6840*600</f>
        <v>526315.78947368427</v>
      </c>
      <c r="E65" s="3">
        <v>100</v>
      </c>
      <c r="F65" s="7">
        <f>D65/E65</f>
        <v>5263.1578947368425</v>
      </c>
      <c r="H65" s="46" t="s">
        <v>274</v>
      </c>
      <c r="I65" s="46"/>
      <c r="J65" s="47">
        <v>1000000</v>
      </c>
    </row>
    <row r="66" spans="1:10" x14ac:dyDescent="0.25">
      <c r="A66" t="s">
        <v>218</v>
      </c>
      <c r="B66" s="3">
        <v>6000000</v>
      </c>
      <c r="C66" t="s">
        <v>275</v>
      </c>
      <c r="D66" s="3">
        <f>+B66/6840*1920</f>
        <v>1684210.5263157894</v>
      </c>
      <c r="E66" s="3">
        <v>160</v>
      </c>
      <c r="F66" s="7">
        <f t="shared" ref="F66:F67" si="3">D66/E66</f>
        <v>10526.315789473683</v>
      </c>
      <c r="H66" s="46" t="s">
        <v>276</v>
      </c>
      <c r="I66" s="46"/>
      <c r="J66" s="47">
        <v>2000000</v>
      </c>
    </row>
    <row r="67" spans="1:10" x14ac:dyDescent="0.25">
      <c r="A67" t="s">
        <v>219</v>
      </c>
      <c r="B67" s="3">
        <v>6000000</v>
      </c>
      <c r="C67" t="s">
        <v>277</v>
      </c>
      <c r="D67" s="3">
        <f>+B67/6840*4320</f>
        <v>3789473.6842105263</v>
      </c>
      <c r="E67" s="3">
        <v>240</v>
      </c>
      <c r="F67" s="7">
        <f t="shared" si="3"/>
        <v>15789.473684210527</v>
      </c>
      <c r="H67" s="46" t="s">
        <v>278</v>
      </c>
      <c r="I67" s="46"/>
      <c r="J67" s="47">
        <v>3000000</v>
      </c>
    </row>
    <row r="68" spans="1:10" ht="15.75" thickBot="1" x14ac:dyDescent="0.3">
      <c r="D68" s="7">
        <f>SUM(D65:D67)</f>
        <v>6000000</v>
      </c>
      <c r="F68" s="9">
        <f>SUM(F65:F67)</f>
        <v>31578.947368421053</v>
      </c>
    </row>
    <row r="69" spans="1:10" ht="15.75" thickTop="1" x14ac:dyDescent="0.25"/>
    <row r="70" spans="1:10" x14ac:dyDescent="0.25">
      <c r="A70" s="13" t="s">
        <v>279</v>
      </c>
    </row>
    <row r="71" spans="1:10" x14ac:dyDescent="0.25">
      <c r="B71" s="43" t="s">
        <v>263</v>
      </c>
      <c r="C71" s="43" t="s">
        <v>272</v>
      </c>
      <c r="D71" s="43" t="s">
        <v>280</v>
      </c>
    </row>
    <row r="72" spans="1:10" x14ac:dyDescent="0.25">
      <c r="A72" t="s">
        <v>217</v>
      </c>
      <c r="B72" s="3">
        <v>6000</v>
      </c>
      <c r="C72" s="7">
        <f>+F65</f>
        <v>5263.1578947368425</v>
      </c>
      <c r="D72" s="7">
        <f>B72-C72</f>
        <v>736.84210526315746</v>
      </c>
    </row>
    <row r="73" spans="1:10" x14ac:dyDescent="0.25">
      <c r="A73" t="s">
        <v>218</v>
      </c>
      <c r="B73" s="3">
        <v>12000</v>
      </c>
      <c r="C73" s="7">
        <f t="shared" ref="C73:C74" si="4">+F66</f>
        <v>10526.315789473683</v>
      </c>
      <c r="D73" s="7">
        <f t="shared" ref="D73:D74" si="5">B73-C73</f>
        <v>1473.6842105263167</v>
      </c>
    </row>
    <row r="74" spans="1:10" x14ac:dyDescent="0.25">
      <c r="A74" t="s">
        <v>219</v>
      </c>
      <c r="B74" s="3">
        <v>18000</v>
      </c>
      <c r="C74" s="7">
        <f t="shared" si="4"/>
        <v>15789.473684210527</v>
      </c>
      <c r="D74" s="7">
        <f t="shared" si="5"/>
        <v>2210.5263157894733</v>
      </c>
    </row>
    <row r="75" spans="1:10" ht="15.75" thickBot="1" x14ac:dyDescent="0.3">
      <c r="D75" s="9">
        <f>SUM(D72:D74)</f>
        <v>4421.0526315789475</v>
      </c>
    </row>
    <row r="76" spans="1:10" ht="15.75" thickTop="1" x14ac:dyDescent="0.25">
      <c r="D76" s="7"/>
    </row>
    <row r="77" spans="1:10" x14ac:dyDescent="0.25">
      <c r="B77" s="13" t="s">
        <v>281</v>
      </c>
      <c r="C77" s="13" t="s">
        <v>271</v>
      </c>
      <c r="D77" s="13" t="s">
        <v>282</v>
      </c>
      <c r="E77" s="13" t="s">
        <v>283</v>
      </c>
      <c r="F77" s="13" t="s">
        <v>280</v>
      </c>
    </row>
    <row r="78" spans="1:10" x14ac:dyDescent="0.25">
      <c r="A78" t="s">
        <v>217</v>
      </c>
      <c r="B78" s="3">
        <f>6840000-6000000</f>
        <v>840000</v>
      </c>
      <c r="C78" t="s">
        <v>273</v>
      </c>
      <c r="D78" s="3">
        <f>B78/6840*600</f>
        <v>73684.210526315786</v>
      </c>
      <c r="E78" s="7">
        <f>+E65</f>
        <v>100</v>
      </c>
      <c r="F78" s="3">
        <f>D78/E78</f>
        <v>736.84210526315792</v>
      </c>
    </row>
    <row r="79" spans="1:10" x14ac:dyDescent="0.25">
      <c r="A79" t="s">
        <v>218</v>
      </c>
      <c r="B79" s="3">
        <f t="shared" ref="B79:B80" si="6">6840000-6000000</f>
        <v>840000</v>
      </c>
      <c r="C79" t="s">
        <v>275</v>
      </c>
      <c r="D79" s="3">
        <f>840000/6840*1920</f>
        <v>235789.4736842105</v>
      </c>
      <c r="E79" s="7">
        <f t="shared" ref="E79:E80" si="7">+E66</f>
        <v>160</v>
      </c>
      <c r="F79" s="3">
        <f t="shared" ref="F79:F80" si="8">D79/E79</f>
        <v>1473.6842105263156</v>
      </c>
    </row>
    <row r="80" spans="1:10" x14ac:dyDescent="0.25">
      <c r="A80" t="s">
        <v>219</v>
      </c>
      <c r="B80" s="3">
        <f t="shared" si="6"/>
        <v>840000</v>
      </c>
      <c r="C80" t="s">
        <v>277</v>
      </c>
      <c r="D80" s="3">
        <f>+B80/6840*4320</f>
        <v>530526.31578947371</v>
      </c>
      <c r="E80" s="7">
        <f t="shared" si="7"/>
        <v>240</v>
      </c>
      <c r="F80" s="3">
        <f t="shared" si="8"/>
        <v>2210.5263157894738</v>
      </c>
    </row>
    <row r="81" spans="6:6" ht="15.75" thickBot="1" x14ac:dyDescent="0.3">
      <c r="F81" s="9">
        <f>SUM(F78:F80)</f>
        <v>4421.0526315789466</v>
      </c>
    </row>
    <row r="82" spans="6:6" ht="15.75" thickTop="1" x14ac:dyDescent="0.25"/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>
      <selection activeCell="D22" sqref="D22"/>
    </sheetView>
  </sheetViews>
  <sheetFormatPr defaultRowHeight="15" x14ac:dyDescent="0.25"/>
  <cols>
    <col min="1" max="1" width="14" customWidth="1"/>
    <col min="2" max="2" width="14.42578125" customWidth="1"/>
    <col min="3" max="4" width="14.28515625" bestFit="1" customWidth="1"/>
    <col min="6" max="6" width="11.5703125" bestFit="1" customWidth="1"/>
    <col min="8" max="8" width="14.5703125" customWidth="1"/>
  </cols>
  <sheetData>
    <row r="2" spans="1:12" x14ac:dyDescent="0.25">
      <c r="A2" s="6" t="s">
        <v>284</v>
      </c>
    </row>
    <row r="4" spans="1:12" x14ac:dyDescent="0.25">
      <c r="A4" t="s">
        <v>270</v>
      </c>
      <c r="B4" s="5" t="s">
        <v>12</v>
      </c>
      <c r="C4" t="s">
        <v>285</v>
      </c>
    </row>
    <row r="6" spans="1:12" x14ac:dyDescent="0.25">
      <c r="B6" s="5" t="s">
        <v>12</v>
      </c>
      <c r="C6" t="s">
        <v>286</v>
      </c>
    </row>
    <row r="7" spans="1:12" ht="15.75" thickBot="1" x14ac:dyDescent="0.3">
      <c r="C7" s="44">
        <f>5400000/C12</f>
        <v>19440000</v>
      </c>
    </row>
    <row r="8" spans="1:12" ht="15.75" thickTop="1" x14ac:dyDescent="0.25"/>
    <row r="10" spans="1:12" x14ac:dyDescent="0.25">
      <c r="A10" t="s">
        <v>251</v>
      </c>
      <c r="B10" s="5" t="s">
        <v>12</v>
      </c>
      <c r="C10" t="s">
        <v>287</v>
      </c>
      <c r="I10" t="s">
        <v>81</v>
      </c>
      <c r="J10" t="s">
        <v>84</v>
      </c>
      <c r="K10" t="s">
        <v>88</v>
      </c>
    </row>
    <row r="11" spans="1:12" x14ac:dyDescent="0.25">
      <c r="C11" t="s">
        <v>288</v>
      </c>
      <c r="H11" t="s">
        <v>240</v>
      </c>
      <c r="I11">
        <v>50</v>
      </c>
      <c r="J11">
        <v>50</v>
      </c>
      <c r="K11">
        <v>85</v>
      </c>
    </row>
    <row r="12" spans="1:12" ht="15.75" thickBot="1" x14ac:dyDescent="0.3">
      <c r="C12" s="48">
        <f>75/270</f>
        <v>0.27777777777777779</v>
      </c>
      <c r="H12" t="s">
        <v>241</v>
      </c>
      <c r="I12">
        <v>-30</v>
      </c>
      <c r="J12">
        <v>-45</v>
      </c>
      <c r="K12">
        <v>-60</v>
      </c>
    </row>
    <row r="13" spans="1:12" ht="15.75" thickTop="1" x14ac:dyDescent="0.25">
      <c r="H13" t="s">
        <v>289</v>
      </c>
      <c r="I13">
        <f>SUM(I11:I12)</f>
        <v>20</v>
      </c>
      <c r="J13">
        <f t="shared" ref="J13:K13" si="0">SUM(J11:J12)</f>
        <v>5</v>
      </c>
      <c r="K13">
        <f t="shared" si="0"/>
        <v>25</v>
      </c>
    </row>
    <row r="14" spans="1:12" x14ac:dyDescent="0.25">
      <c r="H14" t="s">
        <v>290</v>
      </c>
      <c r="I14">
        <v>1</v>
      </c>
      <c r="J14">
        <v>1</v>
      </c>
      <c r="K14">
        <v>2</v>
      </c>
    </row>
    <row r="15" spans="1:12" x14ac:dyDescent="0.25">
      <c r="H15" t="s">
        <v>291</v>
      </c>
      <c r="I15" s="3">
        <f>I13*I14</f>
        <v>20</v>
      </c>
      <c r="J15" s="3">
        <f t="shared" ref="J15:K15" si="1">J13*J14</f>
        <v>5</v>
      </c>
      <c r="K15" s="3">
        <f t="shared" si="1"/>
        <v>50</v>
      </c>
      <c r="L15" s="7">
        <f>SUM(I15:K15)</f>
        <v>75</v>
      </c>
    </row>
    <row r="16" spans="1:12" x14ac:dyDescent="0.25">
      <c r="H16" t="s">
        <v>226</v>
      </c>
      <c r="I16" s="3">
        <f>+I11*I14</f>
        <v>50</v>
      </c>
      <c r="J16" s="3">
        <f t="shared" ref="J16:K16" si="2">+J11*J14</f>
        <v>50</v>
      </c>
      <c r="K16" s="3">
        <f t="shared" si="2"/>
        <v>170</v>
      </c>
      <c r="L16" s="7">
        <f>SUM(I16:K16)</f>
        <v>270</v>
      </c>
    </row>
    <row r="17" spans="1:6" x14ac:dyDescent="0.25">
      <c r="B17" s="13" t="s">
        <v>292</v>
      </c>
      <c r="C17" s="13" t="s">
        <v>271</v>
      </c>
      <c r="D17" s="13" t="s">
        <v>270</v>
      </c>
      <c r="E17" s="13" t="s">
        <v>283</v>
      </c>
      <c r="F17" s="13" t="s">
        <v>145</v>
      </c>
    </row>
    <row r="18" spans="1:6" x14ac:dyDescent="0.25">
      <c r="A18" t="s">
        <v>81</v>
      </c>
      <c r="B18" s="38">
        <v>19440000</v>
      </c>
      <c r="C18" t="s">
        <v>293</v>
      </c>
      <c r="D18" s="3">
        <f>B18*50/270</f>
        <v>3600000</v>
      </c>
      <c r="E18">
        <f>+I11</f>
        <v>50</v>
      </c>
      <c r="F18" s="7">
        <f>D18/E18</f>
        <v>72000</v>
      </c>
    </row>
    <row r="19" spans="1:6" x14ac:dyDescent="0.25">
      <c r="A19" t="s">
        <v>84</v>
      </c>
      <c r="B19" s="38">
        <v>19440000</v>
      </c>
      <c r="C19" t="s">
        <v>293</v>
      </c>
      <c r="D19" s="3">
        <f>+B19*50/270</f>
        <v>3600000</v>
      </c>
      <c r="E19">
        <f>+J11</f>
        <v>50</v>
      </c>
      <c r="F19" s="7">
        <f t="shared" ref="F19:F20" si="3">D19/E19</f>
        <v>72000</v>
      </c>
    </row>
    <row r="20" spans="1:6" x14ac:dyDescent="0.25">
      <c r="A20" t="s">
        <v>88</v>
      </c>
      <c r="B20" s="38">
        <v>19440000</v>
      </c>
      <c r="C20" t="s">
        <v>294</v>
      </c>
      <c r="D20" s="3">
        <f>+B20*170/270</f>
        <v>12240000</v>
      </c>
      <c r="E20">
        <f>+K11</f>
        <v>85</v>
      </c>
      <c r="F20" s="7">
        <f t="shared" si="3"/>
        <v>144000</v>
      </c>
    </row>
    <row r="21" spans="1:6" x14ac:dyDescent="0.25">
      <c r="F21" s="7">
        <f>SUM(F18:F20)</f>
        <v>288000</v>
      </c>
    </row>
    <row r="23" spans="1:6" x14ac:dyDescent="0.25">
      <c r="A23" s="6" t="s">
        <v>295</v>
      </c>
    </row>
    <row r="24" spans="1:6" x14ac:dyDescent="0.25">
      <c r="B24" s="41" t="s">
        <v>296</v>
      </c>
      <c r="C24" s="41" t="s">
        <v>297</v>
      </c>
      <c r="D24" s="41" t="s">
        <v>229</v>
      </c>
    </row>
    <row r="25" spans="1:6" x14ac:dyDescent="0.25">
      <c r="A25" t="s">
        <v>81</v>
      </c>
      <c r="B25" s="3">
        <v>100000</v>
      </c>
      <c r="C25" s="7">
        <f>+F18</f>
        <v>72000</v>
      </c>
      <c r="D25" s="7">
        <f>B25-C25</f>
        <v>28000</v>
      </c>
    </row>
    <row r="26" spans="1:6" x14ac:dyDescent="0.25">
      <c r="A26" t="s">
        <v>84</v>
      </c>
      <c r="B26" s="3">
        <v>100000</v>
      </c>
      <c r="C26" s="7">
        <f t="shared" ref="C26:C27" si="4">+F19</f>
        <v>72000</v>
      </c>
      <c r="D26" s="7">
        <f>B26-C26</f>
        <v>28000</v>
      </c>
    </row>
    <row r="27" spans="1:6" x14ac:dyDescent="0.25">
      <c r="A27" t="s">
        <v>88</v>
      </c>
      <c r="B27" s="3">
        <v>200000</v>
      </c>
      <c r="C27" s="7">
        <f t="shared" si="4"/>
        <v>144000</v>
      </c>
      <c r="D27" s="7">
        <f>B27-C27</f>
        <v>56000</v>
      </c>
    </row>
    <row r="28" spans="1:6" ht="15.75" thickBot="1" x14ac:dyDescent="0.3">
      <c r="B28" s="9">
        <f>SUM(B25:B27)</f>
        <v>400000</v>
      </c>
      <c r="D28" s="9">
        <f>SUM(D25:D27)</f>
        <v>112000</v>
      </c>
    </row>
    <row r="29" spans="1:6" ht="15.75" thickTop="1" x14ac:dyDescent="0.25"/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21" sqref="G21"/>
    </sheetView>
  </sheetViews>
  <sheetFormatPr defaultRowHeight="15" x14ac:dyDescent="0.25"/>
  <sheetData>
    <row r="2" spans="1:1" x14ac:dyDescent="0.25">
      <c r="A2" s="6" t="s">
        <v>298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workbookViewId="0">
      <selection activeCell="C22" sqref="C22"/>
    </sheetView>
  </sheetViews>
  <sheetFormatPr defaultRowHeight="15" x14ac:dyDescent="0.25"/>
  <cols>
    <col min="1" max="1" width="31.5703125" customWidth="1"/>
    <col min="2" max="2" width="9.5703125" bestFit="1" customWidth="1"/>
    <col min="3" max="3" width="12.28515625" bestFit="1" customWidth="1"/>
    <col min="4" max="4" width="10.5703125" bestFit="1" customWidth="1"/>
    <col min="5" max="5" width="11.28515625" bestFit="1" customWidth="1"/>
  </cols>
  <sheetData>
    <row r="2" spans="1:8" x14ac:dyDescent="0.25">
      <c r="A2" s="6" t="s">
        <v>299</v>
      </c>
    </row>
    <row r="3" spans="1:8" x14ac:dyDescent="0.25">
      <c r="A3" s="6"/>
    </row>
    <row r="4" spans="1:8" x14ac:dyDescent="0.25">
      <c r="A4" t="s">
        <v>140</v>
      </c>
    </row>
    <row r="5" spans="1:8" x14ac:dyDescent="0.25">
      <c r="A5" s="6" t="s">
        <v>300</v>
      </c>
    </row>
    <row r="7" spans="1:8" ht="30" x14ac:dyDescent="0.25">
      <c r="A7" s="6" t="s">
        <v>216</v>
      </c>
      <c r="B7" s="43" t="s">
        <v>301</v>
      </c>
      <c r="C7" s="50" t="s">
        <v>302</v>
      </c>
      <c r="D7" s="43"/>
      <c r="E7" s="43" t="s">
        <v>303</v>
      </c>
    </row>
    <row r="8" spans="1:8" x14ac:dyDescent="0.25">
      <c r="A8" t="s">
        <v>304</v>
      </c>
      <c r="B8" s="3">
        <v>3000</v>
      </c>
      <c r="C8" s="3">
        <f>10/5</f>
        <v>2</v>
      </c>
      <c r="D8" s="49" t="s">
        <v>305</v>
      </c>
      <c r="E8" s="3">
        <f>B8*C8</f>
        <v>6000</v>
      </c>
    </row>
    <row r="9" spans="1:8" x14ac:dyDescent="0.25">
      <c r="A9" t="s">
        <v>306</v>
      </c>
      <c r="B9" s="3">
        <v>5000</v>
      </c>
      <c r="C9" s="3">
        <f>15/5</f>
        <v>3</v>
      </c>
      <c r="D9" t="s">
        <v>307</v>
      </c>
      <c r="E9" s="15">
        <f>B9*C9</f>
        <v>15000</v>
      </c>
    </row>
    <row r="10" spans="1:8" x14ac:dyDescent="0.25">
      <c r="A10" t="s">
        <v>308</v>
      </c>
      <c r="E10" s="7">
        <f>SUM(E8:E9)</f>
        <v>21000</v>
      </c>
    </row>
    <row r="11" spans="1:8" x14ac:dyDescent="0.25">
      <c r="A11" t="s">
        <v>309</v>
      </c>
      <c r="E11" s="3">
        <v>-18000</v>
      </c>
    </row>
    <row r="12" spans="1:8" ht="15.75" thickBot="1" x14ac:dyDescent="0.3">
      <c r="A12" s="52" t="s">
        <v>310</v>
      </c>
      <c r="B12" s="52"/>
      <c r="C12" s="52"/>
      <c r="D12" s="52"/>
      <c r="E12" s="53">
        <f>SUM(E10:E11)</f>
        <v>3000</v>
      </c>
    </row>
    <row r="13" spans="1:8" ht="15.75" thickTop="1" x14ac:dyDescent="0.25"/>
    <row r="14" spans="1:8" x14ac:dyDescent="0.25">
      <c r="A14" s="6" t="s">
        <v>311</v>
      </c>
    </row>
    <row r="16" spans="1:8" x14ac:dyDescent="0.25">
      <c r="C16" s="35" t="s">
        <v>304</v>
      </c>
      <c r="D16" s="35"/>
      <c r="E16" s="35" t="s">
        <v>306</v>
      </c>
      <c r="G16" s="35"/>
      <c r="H16" s="35" t="s">
        <v>306</v>
      </c>
    </row>
    <row r="17" spans="1:10" x14ac:dyDescent="0.25">
      <c r="A17" t="s">
        <v>131</v>
      </c>
      <c r="C17" s="3">
        <v>80</v>
      </c>
      <c r="D17" s="3"/>
      <c r="E17" s="3">
        <v>100</v>
      </c>
      <c r="G17" s="3"/>
      <c r="H17" s="3">
        <v>100</v>
      </c>
    </row>
    <row r="18" spans="1:10" x14ac:dyDescent="0.25">
      <c r="A18" s="6" t="s">
        <v>132</v>
      </c>
    </row>
    <row r="19" spans="1:10" x14ac:dyDescent="0.25">
      <c r="A19" t="s">
        <v>111</v>
      </c>
      <c r="B19" s="3">
        <v>20</v>
      </c>
      <c r="D19" s="3">
        <v>30</v>
      </c>
      <c r="E19" s="3"/>
      <c r="G19" s="3">
        <v>30</v>
      </c>
      <c r="H19" s="3"/>
    </row>
    <row r="20" spans="1:10" x14ac:dyDescent="0.25">
      <c r="A20" t="s">
        <v>112</v>
      </c>
      <c r="B20" s="3">
        <v>10</v>
      </c>
      <c r="D20" s="3">
        <v>15</v>
      </c>
      <c r="E20" s="3"/>
      <c r="G20" s="3">
        <v>45</v>
      </c>
      <c r="H20" s="3"/>
      <c r="J20" s="3">
        <f>+G20/3</f>
        <v>15</v>
      </c>
    </row>
    <row r="21" spans="1:10" x14ac:dyDescent="0.25">
      <c r="A21" t="s">
        <v>312</v>
      </c>
      <c r="B21" s="15">
        <v>20</v>
      </c>
      <c r="C21" s="45">
        <f>-SUM(B19:B21)</f>
        <v>-50</v>
      </c>
      <c r="D21" s="15">
        <v>25</v>
      </c>
      <c r="E21" s="15">
        <f>-SUM(D19:D21)</f>
        <v>-70</v>
      </c>
      <c r="G21" s="15">
        <v>25</v>
      </c>
      <c r="H21" s="15">
        <v>-100</v>
      </c>
    </row>
    <row r="22" spans="1:10" x14ac:dyDescent="0.25">
      <c r="A22" s="6" t="s">
        <v>192</v>
      </c>
      <c r="B22" s="6"/>
      <c r="C22" s="54">
        <f>SUM(C17:C21)</f>
        <v>30</v>
      </c>
      <c r="D22" s="55"/>
      <c r="E22" s="55">
        <f>SUM(E17:E21)</f>
        <v>30</v>
      </c>
      <c r="G22" s="55"/>
      <c r="H22" s="55">
        <v>0</v>
      </c>
      <c r="J22" t="s">
        <v>313</v>
      </c>
    </row>
    <row r="23" spans="1:10" x14ac:dyDescent="0.25">
      <c r="A23" t="s">
        <v>314</v>
      </c>
      <c r="C23">
        <v>2</v>
      </c>
      <c r="E23">
        <v>3</v>
      </c>
      <c r="H23">
        <v>3</v>
      </c>
    </row>
    <row r="24" spans="1:10" x14ac:dyDescent="0.25">
      <c r="A24" t="s">
        <v>315</v>
      </c>
      <c r="C24" s="7">
        <f>C22/C23</f>
        <v>15</v>
      </c>
      <c r="E24" s="56">
        <f>E22/E23</f>
        <v>10</v>
      </c>
      <c r="H24" s="7">
        <f>H22/H23</f>
        <v>0</v>
      </c>
    </row>
    <row r="25" spans="1:10" x14ac:dyDescent="0.25">
      <c r="A25" s="52" t="s">
        <v>316</v>
      </c>
      <c r="B25" s="52"/>
      <c r="C25" s="40">
        <v>1</v>
      </c>
      <c r="D25" s="40"/>
      <c r="E25" s="40">
        <v>2</v>
      </c>
    </row>
    <row r="27" spans="1:10" x14ac:dyDescent="0.25">
      <c r="A27" s="6" t="s">
        <v>317</v>
      </c>
    </row>
    <row r="28" spans="1:10" x14ac:dyDescent="0.25">
      <c r="A28" s="13" t="s">
        <v>216</v>
      </c>
      <c r="B28" s="13" t="s">
        <v>318</v>
      </c>
      <c r="C28" s="13" t="s">
        <v>319</v>
      </c>
      <c r="D28" s="13" t="s">
        <v>303</v>
      </c>
    </row>
    <row r="29" spans="1:10" x14ac:dyDescent="0.25">
      <c r="A29" t="s">
        <v>304</v>
      </c>
      <c r="B29" s="3">
        <v>3000</v>
      </c>
      <c r="C29">
        <v>2</v>
      </c>
      <c r="D29" s="7">
        <f>B29*C29</f>
        <v>6000</v>
      </c>
    </row>
    <row r="30" spans="1:10" x14ac:dyDescent="0.25">
      <c r="A30" t="s">
        <v>306</v>
      </c>
      <c r="B30" s="24">
        <f>D30/C30</f>
        <v>4000</v>
      </c>
      <c r="C30">
        <v>3</v>
      </c>
      <c r="D30" s="24">
        <f>D31-D29</f>
        <v>12000</v>
      </c>
    </row>
    <row r="31" spans="1:10" ht="15.75" thickBot="1" x14ac:dyDescent="0.3">
      <c r="D31" s="19">
        <v>18000</v>
      </c>
    </row>
    <row r="32" spans="1:10" ht="15.75" thickTop="1" x14ac:dyDescent="0.25"/>
    <row r="33" spans="1:3" x14ac:dyDescent="0.25">
      <c r="A33" t="s">
        <v>144</v>
      </c>
    </row>
    <row r="34" spans="1:3" x14ac:dyDescent="0.25">
      <c r="A34" t="s">
        <v>320</v>
      </c>
      <c r="B34" t="s">
        <v>321</v>
      </c>
      <c r="C34" s="3">
        <f>3000*30</f>
        <v>90000</v>
      </c>
    </row>
    <row r="35" spans="1:3" x14ac:dyDescent="0.25">
      <c r="A35" t="s">
        <v>322</v>
      </c>
      <c r="B35" t="s">
        <v>323</v>
      </c>
      <c r="C35" s="15">
        <f>4000*30</f>
        <v>120000</v>
      </c>
    </row>
    <row r="36" spans="1:3" x14ac:dyDescent="0.25">
      <c r="A36" t="s">
        <v>324</v>
      </c>
      <c r="C36" s="7">
        <f>SUM(C34:C35)</f>
        <v>210000</v>
      </c>
    </row>
    <row r="37" spans="1:3" x14ac:dyDescent="0.25">
      <c r="A37" t="s">
        <v>166</v>
      </c>
      <c r="C37" s="3">
        <v>-110000</v>
      </c>
    </row>
    <row r="38" spans="1:3" ht="15.75" thickBot="1" x14ac:dyDescent="0.3">
      <c r="A38" s="6" t="s">
        <v>187</v>
      </c>
      <c r="B38" s="6"/>
      <c r="C38" s="51">
        <f>SUM(C36:C37)</f>
        <v>100000</v>
      </c>
    </row>
    <row r="39" spans="1:3" ht="15.75" thickTop="1" x14ac:dyDescent="0.25"/>
    <row r="41" spans="1:3" x14ac:dyDescent="0.25">
      <c r="A41" t="s">
        <v>148</v>
      </c>
    </row>
    <row r="42" spans="1:3" x14ac:dyDescent="0.25">
      <c r="A42" t="s">
        <v>325</v>
      </c>
      <c r="B42" t="s">
        <v>326</v>
      </c>
    </row>
    <row r="43" spans="1:3" x14ac:dyDescent="0.25">
      <c r="A43" s="10" t="s">
        <v>327</v>
      </c>
      <c r="B43" s="21">
        <v>10</v>
      </c>
      <c r="C43" s="10" t="s">
        <v>328</v>
      </c>
    </row>
    <row r="44" spans="1:3" x14ac:dyDescent="0.25">
      <c r="A44" t="s">
        <v>329</v>
      </c>
      <c r="B44" s="3">
        <v>5</v>
      </c>
    </row>
    <row r="45" spans="1:3" ht="15.75" thickBot="1" x14ac:dyDescent="0.3">
      <c r="A45" t="s">
        <v>330</v>
      </c>
      <c r="B45" s="9">
        <f>SUM(B43:B44)</f>
        <v>15</v>
      </c>
    </row>
    <row r="46" spans="1:3" ht="15.75" thickTop="1" x14ac:dyDescent="0.25"/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0"/>
  <sheetViews>
    <sheetView workbookViewId="0">
      <selection activeCell="E23" sqref="E23"/>
    </sheetView>
  </sheetViews>
  <sheetFormatPr defaultRowHeight="15" x14ac:dyDescent="0.25"/>
  <cols>
    <col min="1" max="1" width="32.42578125" customWidth="1"/>
    <col min="2" max="2" width="12.28515625" customWidth="1"/>
    <col min="3" max="3" width="15.140625" customWidth="1"/>
    <col min="4" max="4" width="10.28515625" bestFit="1" customWidth="1"/>
    <col min="5" max="5" width="9.5703125" bestFit="1" customWidth="1"/>
  </cols>
  <sheetData>
    <row r="2" spans="1:5" x14ac:dyDescent="0.25">
      <c r="A2" s="6" t="s">
        <v>331</v>
      </c>
    </row>
    <row r="3" spans="1:5" x14ac:dyDescent="0.25">
      <c r="A3" t="s">
        <v>140</v>
      </c>
    </row>
    <row r="4" spans="1:5" x14ac:dyDescent="0.25">
      <c r="A4" s="6" t="s">
        <v>332</v>
      </c>
      <c r="B4" s="6" t="s">
        <v>301</v>
      </c>
      <c r="C4" s="6" t="s">
        <v>333</v>
      </c>
      <c r="D4" s="6" t="s">
        <v>334</v>
      </c>
      <c r="E4" s="6"/>
    </row>
    <row r="5" spans="1:5" x14ac:dyDescent="0.25">
      <c r="A5" t="s">
        <v>217</v>
      </c>
      <c r="B5" s="3">
        <v>300</v>
      </c>
      <c r="C5" s="3">
        <v>4</v>
      </c>
      <c r="D5" s="3">
        <f>B5*C5</f>
        <v>1200</v>
      </c>
    </row>
    <row r="6" spans="1:5" x14ac:dyDescent="0.25">
      <c r="A6" t="s">
        <v>218</v>
      </c>
      <c r="B6" s="3">
        <v>450</v>
      </c>
      <c r="C6" s="3">
        <f>350/50</f>
        <v>7</v>
      </c>
      <c r="D6" s="3">
        <f t="shared" ref="D6:D7" si="0">B6*C6</f>
        <v>3150</v>
      </c>
    </row>
    <row r="7" spans="1:5" x14ac:dyDescent="0.25">
      <c r="A7" t="s">
        <v>219</v>
      </c>
      <c r="B7" s="3">
        <v>250</v>
      </c>
      <c r="C7" s="3">
        <v>14</v>
      </c>
      <c r="D7" s="15">
        <f t="shared" si="0"/>
        <v>3500</v>
      </c>
    </row>
    <row r="8" spans="1:5" x14ac:dyDescent="0.25">
      <c r="A8" t="s">
        <v>335</v>
      </c>
      <c r="D8" s="7">
        <f>SUM(D5:D7)</f>
        <v>7850</v>
      </c>
    </row>
    <row r="9" spans="1:5" x14ac:dyDescent="0.25">
      <c r="A9" t="s">
        <v>336</v>
      </c>
      <c r="D9" s="3">
        <v>-6250</v>
      </c>
    </row>
    <row r="10" spans="1:5" ht="15.75" thickBot="1" x14ac:dyDescent="0.3">
      <c r="A10" s="6" t="s">
        <v>310</v>
      </c>
      <c r="B10" s="6"/>
      <c r="C10" s="6"/>
      <c r="D10" s="51">
        <f>SUM(D8:D9)</f>
        <v>1600</v>
      </c>
    </row>
    <row r="11" spans="1:5" ht="15.75" thickTop="1" x14ac:dyDescent="0.25"/>
    <row r="13" spans="1:5" x14ac:dyDescent="0.25">
      <c r="B13" s="35" t="s">
        <v>217</v>
      </c>
      <c r="C13" s="35" t="s">
        <v>218</v>
      </c>
      <c r="D13" s="35" t="s">
        <v>219</v>
      </c>
    </row>
    <row r="14" spans="1:5" x14ac:dyDescent="0.25">
      <c r="A14" t="s">
        <v>131</v>
      </c>
      <c r="B14" s="3">
        <v>600</v>
      </c>
      <c r="C14" s="3">
        <v>1200</v>
      </c>
      <c r="D14" s="3">
        <v>1600</v>
      </c>
    </row>
    <row r="15" spans="1:5" x14ac:dyDescent="0.25">
      <c r="A15" s="13" t="s">
        <v>132</v>
      </c>
    </row>
    <row r="16" spans="1:5" x14ac:dyDescent="0.25">
      <c r="A16" t="s">
        <v>111</v>
      </c>
      <c r="B16" s="3">
        <v>-200</v>
      </c>
      <c r="C16" s="3">
        <v>-350</v>
      </c>
      <c r="D16" s="3">
        <v>-700</v>
      </c>
    </row>
    <row r="17" spans="1:5" x14ac:dyDescent="0.25">
      <c r="A17" t="s">
        <v>112</v>
      </c>
      <c r="B17" s="3">
        <v>-100</v>
      </c>
      <c r="C17" s="3">
        <v>-200</v>
      </c>
      <c r="D17" s="3">
        <v>-500</v>
      </c>
    </row>
    <row r="18" spans="1:5" x14ac:dyDescent="0.25">
      <c r="A18" t="s">
        <v>312</v>
      </c>
      <c r="B18" s="15">
        <v>-160</v>
      </c>
      <c r="C18" s="15">
        <v>-320</v>
      </c>
      <c r="D18" s="15">
        <v>-450</v>
      </c>
    </row>
    <row r="19" spans="1:5" x14ac:dyDescent="0.25">
      <c r="B19" s="54">
        <f>SUM(B16:B18)</f>
        <v>-460</v>
      </c>
      <c r="C19" s="54">
        <f t="shared" ref="C19:D19" si="1">SUM(C16:C18)</f>
        <v>-870</v>
      </c>
      <c r="D19" s="54">
        <f t="shared" si="1"/>
        <v>-1650</v>
      </c>
    </row>
    <row r="20" spans="1:5" x14ac:dyDescent="0.25">
      <c r="A20" s="52" t="s">
        <v>192</v>
      </c>
      <c r="B20" s="57">
        <f>B14+B19</f>
        <v>140</v>
      </c>
      <c r="C20" s="57">
        <f t="shared" ref="C20:D20" si="2">C14+C19</f>
        <v>330</v>
      </c>
      <c r="D20" s="57">
        <f t="shared" si="2"/>
        <v>-50</v>
      </c>
    </row>
    <row r="21" spans="1:5" x14ac:dyDescent="0.25">
      <c r="A21" t="s">
        <v>337</v>
      </c>
      <c r="B21" s="7">
        <f>+C5</f>
        <v>4</v>
      </c>
      <c r="C21" s="7">
        <f>+C6</f>
        <v>7</v>
      </c>
      <c r="D21" s="7">
        <f>+C7</f>
        <v>14</v>
      </c>
    </row>
    <row r="22" spans="1:5" x14ac:dyDescent="0.25">
      <c r="A22" t="s">
        <v>338</v>
      </c>
      <c r="B22" s="3">
        <f>B20/B21</f>
        <v>35</v>
      </c>
      <c r="C22" s="3">
        <f>C20/C21</f>
        <v>47.142857142857146</v>
      </c>
      <c r="D22" s="3">
        <f>D20/D21</f>
        <v>-3.5714285714285716</v>
      </c>
    </row>
    <row r="23" spans="1:5" x14ac:dyDescent="0.25">
      <c r="A23" s="52" t="s">
        <v>243</v>
      </c>
      <c r="B23" s="58">
        <v>2</v>
      </c>
      <c r="C23" s="58">
        <v>1</v>
      </c>
      <c r="D23" s="58">
        <v>3</v>
      </c>
      <c r="E23" s="52"/>
    </row>
    <row r="25" spans="1:5" x14ac:dyDescent="0.25">
      <c r="A25" s="6" t="s">
        <v>216</v>
      </c>
      <c r="B25" s="6" t="s">
        <v>339</v>
      </c>
      <c r="C25" s="6" t="s">
        <v>333</v>
      </c>
      <c r="D25" s="6" t="s">
        <v>334</v>
      </c>
    </row>
    <row r="26" spans="1:5" x14ac:dyDescent="0.25">
      <c r="A26" s="8" t="s">
        <v>340</v>
      </c>
    </row>
    <row r="27" spans="1:5" x14ac:dyDescent="0.25">
      <c r="A27" t="s">
        <v>217</v>
      </c>
      <c r="B27" s="3">
        <v>150</v>
      </c>
      <c r="C27" s="7">
        <f>+C5</f>
        <v>4</v>
      </c>
      <c r="D27" s="7">
        <f>+B27*C27</f>
        <v>600</v>
      </c>
      <c r="E27" s="7">
        <f>+D27</f>
        <v>600</v>
      </c>
    </row>
    <row r="28" spans="1:5" x14ac:dyDescent="0.25">
      <c r="A28" t="s">
        <v>218</v>
      </c>
      <c r="B28" s="3">
        <v>150</v>
      </c>
      <c r="C28" s="7">
        <f>+C6</f>
        <v>7</v>
      </c>
      <c r="D28" s="7">
        <f>+B28*C28</f>
        <v>1050</v>
      </c>
      <c r="E28" s="7">
        <f>+E27+D28</f>
        <v>1650</v>
      </c>
    </row>
    <row r="29" spans="1:5" x14ac:dyDescent="0.25">
      <c r="A29" t="s">
        <v>219</v>
      </c>
      <c r="B29" s="3">
        <v>150</v>
      </c>
      <c r="C29" s="7">
        <f>+C7</f>
        <v>14</v>
      </c>
      <c r="D29" s="7">
        <f>+B29*C29</f>
        <v>2100</v>
      </c>
      <c r="E29" s="7">
        <f t="shared" ref="E29:E32" si="3">+E28+D29</f>
        <v>3750</v>
      </c>
    </row>
    <row r="30" spans="1:5" x14ac:dyDescent="0.25">
      <c r="A30" s="8" t="s">
        <v>341</v>
      </c>
      <c r="E30" s="7">
        <f t="shared" si="3"/>
        <v>3750</v>
      </c>
    </row>
    <row r="31" spans="1:5" x14ac:dyDescent="0.25">
      <c r="A31" t="s">
        <v>218</v>
      </c>
      <c r="B31" s="3">
        <v>300</v>
      </c>
      <c r="C31">
        <v>7</v>
      </c>
      <c r="D31" s="3">
        <f>+B31*C31</f>
        <v>2100</v>
      </c>
      <c r="E31" s="7">
        <f t="shared" si="3"/>
        <v>5850</v>
      </c>
    </row>
    <row r="32" spans="1:5" x14ac:dyDescent="0.25">
      <c r="A32" t="s">
        <v>217</v>
      </c>
      <c r="B32" s="7">
        <f>D32/C32</f>
        <v>100</v>
      </c>
      <c r="C32">
        <v>4</v>
      </c>
      <c r="D32" s="7">
        <f>D33-D27-D28-D29-D31</f>
        <v>400</v>
      </c>
      <c r="E32" s="7">
        <f t="shared" si="3"/>
        <v>6250</v>
      </c>
    </row>
    <row r="33" spans="1:4" ht="15.75" thickBot="1" x14ac:dyDescent="0.3">
      <c r="D33" s="19">
        <v>6250</v>
      </c>
    </row>
    <row r="34" spans="1:4" ht="15.75" thickTop="1" x14ac:dyDescent="0.25"/>
    <row r="35" spans="1:4" x14ac:dyDescent="0.25">
      <c r="A35" t="s">
        <v>144</v>
      </c>
    </row>
    <row r="36" spans="1:4" x14ac:dyDescent="0.25">
      <c r="A36" t="s">
        <v>192</v>
      </c>
    </row>
    <row r="37" spans="1:4" x14ac:dyDescent="0.25">
      <c r="A37" t="s">
        <v>217</v>
      </c>
      <c r="B37" t="s">
        <v>342</v>
      </c>
      <c r="C37" s="3">
        <f>250*140</f>
        <v>35000</v>
      </c>
    </row>
    <row r="38" spans="1:4" x14ac:dyDescent="0.25">
      <c r="A38" t="s">
        <v>218</v>
      </c>
      <c r="B38" t="s">
        <v>343</v>
      </c>
      <c r="C38" s="3">
        <f>450*330</f>
        <v>148500</v>
      </c>
    </row>
    <row r="39" spans="1:4" x14ac:dyDescent="0.25">
      <c r="A39" t="s">
        <v>219</v>
      </c>
      <c r="B39" t="s">
        <v>344</v>
      </c>
      <c r="C39" s="15">
        <f>-150*50</f>
        <v>-7500</v>
      </c>
    </row>
    <row r="40" spans="1:4" x14ac:dyDescent="0.25">
      <c r="A40" t="s">
        <v>164</v>
      </c>
      <c r="C40" s="7">
        <f>SUM(C37:C39)</f>
        <v>176000</v>
      </c>
    </row>
    <row r="41" spans="1:4" x14ac:dyDescent="0.25">
      <c r="A41" t="s">
        <v>166</v>
      </c>
      <c r="C41" s="3">
        <v>-75000</v>
      </c>
    </row>
    <row r="42" spans="1:4" ht="15.75" thickBot="1" x14ac:dyDescent="0.3">
      <c r="A42" t="s">
        <v>187</v>
      </c>
      <c r="C42" s="9">
        <f>SUM(C40:C41)</f>
        <v>101000</v>
      </c>
    </row>
    <row r="43" spans="1:4" ht="15.75" thickTop="1" x14ac:dyDescent="0.25"/>
    <row r="44" spans="1:4" x14ac:dyDescent="0.25">
      <c r="A44" t="s">
        <v>345</v>
      </c>
    </row>
    <row r="45" spans="1:4" x14ac:dyDescent="0.25">
      <c r="A45" t="s">
        <v>346</v>
      </c>
    </row>
    <row r="47" spans="1:4" x14ac:dyDescent="0.25">
      <c r="A47" t="s">
        <v>347</v>
      </c>
      <c r="B47">
        <v>50</v>
      </c>
    </row>
    <row r="48" spans="1:4" x14ac:dyDescent="0.25">
      <c r="A48" s="10" t="s">
        <v>348</v>
      </c>
      <c r="B48" s="10">
        <v>35</v>
      </c>
      <c r="C48" s="10" t="s">
        <v>349</v>
      </c>
      <c r="D48" t="s">
        <v>350</v>
      </c>
    </row>
    <row r="49" spans="1:4" ht="15.75" thickBot="1" x14ac:dyDescent="0.3">
      <c r="A49" t="s">
        <v>351</v>
      </c>
      <c r="B49" s="29">
        <f>SUM(B47:B48)</f>
        <v>85</v>
      </c>
      <c r="D49" t="s">
        <v>352</v>
      </c>
    </row>
    <row r="50" spans="1:4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51"/>
  <sheetViews>
    <sheetView workbookViewId="0"/>
  </sheetViews>
  <sheetFormatPr defaultRowHeight="15" x14ac:dyDescent="0.25"/>
  <cols>
    <col min="1" max="1" width="15.42578125" customWidth="1"/>
    <col min="3" max="3" width="15.7109375" customWidth="1"/>
    <col min="4" max="4" width="15.140625" customWidth="1"/>
    <col min="5" max="5" width="9.5703125" bestFit="1" customWidth="1"/>
  </cols>
  <sheetData>
    <row r="2" spans="1:9" x14ac:dyDescent="0.25">
      <c r="A2" s="6" t="s">
        <v>353</v>
      </c>
    </row>
    <row r="4" spans="1:9" x14ac:dyDescent="0.25">
      <c r="A4" s="6" t="s">
        <v>354</v>
      </c>
      <c r="B4" s="6" t="s">
        <v>355</v>
      </c>
    </row>
    <row r="5" spans="1:9" x14ac:dyDescent="0.25">
      <c r="B5" t="s">
        <v>356</v>
      </c>
    </row>
    <row r="6" spans="1:9" x14ac:dyDescent="0.25">
      <c r="B6" t="s">
        <v>357</v>
      </c>
    </row>
    <row r="8" spans="1:9" x14ac:dyDescent="0.25">
      <c r="A8" s="6" t="s">
        <v>358</v>
      </c>
      <c r="B8" s="6" t="s">
        <v>359</v>
      </c>
      <c r="F8" t="s">
        <v>360</v>
      </c>
    </row>
    <row r="10" spans="1:9" x14ac:dyDescent="0.25">
      <c r="B10" s="52" t="s">
        <v>361</v>
      </c>
      <c r="C10" s="60" t="s">
        <v>362</v>
      </c>
    </row>
    <row r="12" spans="1:9" x14ac:dyDescent="0.25">
      <c r="C12" s="35" t="s">
        <v>304</v>
      </c>
      <c r="D12" s="35"/>
      <c r="E12" s="35" t="s">
        <v>306</v>
      </c>
    </row>
    <row r="13" spans="1:9" x14ac:dyDescent="0.25">
      <c r="A13" t="s">
        <v>131</v>
      </c>
      <c r="C13" s="3">
        <v>42.5</v>
      </c>
      <c r="D13" s="3"/>
      <c r="E13" s="3">
        <v>53.5</v>
      </c>
    </row>
    <row r="14" spans="1:9" x14ac:dyDescent="0.25">
      <c r="A14" s="6" t="s">
        <v>132</v>
      </c>
      <c r="H14" s="11" t="s">
        <v>363</v>
      </c>
      <c r="I14" s="59" t="s">
        <v>306</v>
      </c>
    </row>
    <row r="15" spans="1:9" x14ac:dyDescent="0.25">
      <c r="A15" t="s">
        <v>111</v>
      </c>
      <c r="C15" s="3">
        <v>-7</v>
      </c>
      <c r="E15" s="3">
        <v>-9</v>
      </c>
      <c r="I15">
        <v>400</v>
      </c>
    </row>
    <row r="16" spans="1:9" x14ac:dyDescent="0.25">
      <c r="A16" t="s">
        <v>112</v>
      </c>
      <c r="B16" t="s">
        <v>364</v>
      </c>
      <c r="C16" s="3">
        <v>-12</v>
      </c>
      <c r="D16" t="s">
        <v>365</v>
      </c>
      <c r="E16" s="3">
        <v>-18</v>
      </c>
    </row>
    <row r="17" spans="1:20" x14ac:dyDescent="0.25">
      <c r="A17" t="s">
        <v>366</v>
      </c>
      <c r="B17" t="s">
        <v>367</v>
      </c>
      <c r="C17" s="3">
        <v>-12.5</v>
      </c>
      <c r="D17" t="s">
        <v>368</v>
      </c>
      <c r="E17" s="3">
        <v>-10</v>
      </c>
    </row>
    <row r="18" spans="1:20" x14ac:dyDescent="0.25">
      <c r="A18" t="s">
        <v>312</v>
      </c>
      <c r="C18" s="3">
        <v>-1</v>
      </c>
      <c r="E18" s="3">
        <v>-2.5</v>
      </c>
      <c r="I18" t="s">
        <v>369</v>
      </c>
    </row>
    <row r="19" spans="1:20" ht="15.75" thickBot="1" x14ac:dyDescent="0.3">
      <c r="A19" s="6" t="s">
        <v>192</v>
      </c>
      <c r="B19" s="6"/>
      <c r="C19" s="51">
        <f>SUM(C13:C18)</f>
        <v>10</v>
      </c>
      <c r="D19" s="6"/>
      <c r="E19" s="51">
        <f>SUM(E13:E18)</f>
        <v>14</v>
      </c>
      <c r="I19">
        <v>300</v>
      </c>
      <c r="J19" t="s">
        <v>217</v>
      </c>
      <c r="M19" s="6" t="s">
        <v>370</v>
      </c>
    </row>
    <row r="20" spans="1:20" ht="15.75" thickTop="1" x14ac:dyDescent="0.25"/>
    <row r="21" spans="1:20" x14ac:dyDescent="0.25">
      <c r="A21" s="6" t="s">
        <v>371</v>
      </c>
      <c r="B21" s="6" t="s">
        <v>372</v>
      </c>
    </row>
    <row r="22" spans="1:20" x14ac:dyDescent="0.25">
      <c r="A22" t="s">
        <v>373</v>
      </c>
      <c r="B22" t="s">
        <v>374</v>
      </c>
      <c r="D22">
        <f>45*60</f>
        <v>2700</v>
      </c>
      <c r="E22" t="s">
        <v>375</v>
      </c>
    </row>
    <row r="23" spans="1:20" x14ac:dyDescent="0.25">
      <c r="A23" t="s">
        <v>376</v>
      </c>
      <c r="B23" t="s">
        <v>377</v>
      </c>
      <c r="D23">
        <f>26*60</f>
        <v>1560</v>
      </c>
      <c r="I23">
        <v>200</v>
      </c>
      <c r="M23" t="s">
        <v>218</v>
      </c>
    </row>
    <row r="24" spans="1:20" x14ac:dyDescent="0.25">
      <c r="A24" t="s">
        <v>378</v>
      </c>
      <c r="B24" t="s">
        <v>379</v>
      </c>
    </row>
    <row r="26" spans="1:20" x14ac:dyDescent="0.25">
      <c r="A26" s="6" t="s">
        <v>220</v>
      </c>
      <c r="B26" s="6" t="s">
        <v>380</v>
      </c>
      <c r="C26" s="6"/>
    </row>
    <row r="27" spans="1:20" x14ac:dyDescent="0.25">
      <c r="A27" t="s">
        <v>373</v>
      </c>
      <c r="B27" t="s">
        <v>381</v>
      </c>
      <c r="D27" t="s">
        <v>382</v>
      </c>
      <c r="F27" t="s">
        <v>383</v>
      </c>
      <c r="I27">
        <v>100</v>
      </c>
    </row>
    <row r="28" spans="1:20" x14ac:dyDescent="0.25">
      <c r="A28" t="s">
        <v>376</v>
      </c>
      <c r="B28" t="s">
        <v>384</v>
      </c>
      <c r="D28" t="s">
        <v>385</v>
      </c>
      <c r="F28" t="s">
        <v>386</v>
      </c>
    </row>
    <row r="31" spans="1:20" x14ac:dyDescent="0.25">
      <c r="I31">
        <v>0</v>
      </c>
      <c r="P31" s="25" t="s">
        <v>219</v>
      </c>
    </row>
    <row r="32" spans="1:20" x14ac:dyDescent="0.25">
      <c r="A32" s="6" t="s">
        <v>387</v>
      </c>
      <c r="B32" s="6" t="s">
        <v>388</v>
      </c>
      <c r="K32">
        <v>100</v>
      </c>
      <c r="M32">
        <v>200</v>
      </c>
      <c r="O32">
        <v>300</v>
      </c>
      <c r="Q32">
        <v>400</v>
      </c>
      <c r="R32">
        <v>450</v>
      </c>
      <c r="S32">
        <v>500</v>
      </c>
      <c r="T32" s="6" t="s">
        <v>304</v>
      </c>
    </row>
    <row r="34" spans="1:6" x14ac:dyDescent="0.25">
      <c r="A34" s="61" t="s">
        <v>389</v>
      </c>
    </row>
    <row r="35" spans="1:6" x14ac:dyDescent="0.25">
      <c r="D35" s="60" t="s">
        <v>362</v>
      </c>
    </row>
    <row r="36" spans="1:6" x14ac:dyDescent="0.25">
      <c r="B36" t="s">
        <v>217</v>
      </c>
      <c r="C36" t="s">
        <v>382</v>
      </c>
      <c r="D36" t="s">
        <v>390</v>
      </c>
      <c r="E36" s="3">
        <f>300*14</f>
        <v>4200</v>
      </c>
    </row>
    <row r="37" spans="1:6" x14ac:dyDescent="0.25">
      <c r="B37" s="62" t="s">
        <v>218</v>
      </c>
      <c r="C37" s="62" t="s">
        <v>391</v>
      </c>
      <c r="D37" s="62" t="s">
        <v>392</v>
      </c>
      <c r="E37" s="63">
        <f>(10*150)+(14*200)</f>
        <v>4300</v>
      </c>
      <c r="F37" s="62" t="s">
        <v>393</v>
      </c>
    </row>
    <row r="38" spans="1:6" x14ac:dyDescent="0.25">
      <c r="B38" t="s">
        <v>219</v>
      </c>
      <c r="C38" t="s">
        <v>394</v>
      </c>
      <c r="D38" t="s">
        <v>395</v>
      </c>
      <c r="E38" s="3">
        <f>312*10</f>
        <v>3120</v>
      </c>
    </row>
    <row r="40" spans="1:6" x14ac:dyDescent="0.25">
      <c r="B40" s="8" t="s">
        <v>396</v>
      </c>
    </row>
    <row r="41" spans="1:6" x14ac:dyDescent="0.25">
      <c r="B41" t="s">
        <v>304</v>
      </c>
      <c r="C41" s="3">
        <v>150</v>
      </c>
    </row>
    <row r="42" spans="1:6" x14ac:dyDescent="0.25">
      <c r="B42" t="s">
        <v>306</v>
      </c>
      <c r="C42" s="3">
        <v>200</v>
      </c>
    </row>
    <row r="44" spans="1:6" x14ac:dyDescent="0.25">
      <c r="A44" s="61" t="s">
        <v>397</v>
      </c>
    </row>
    <row r="45" spans="1:6" x14ac:dyDescent="0.25">
      <c r="B45" t="s">
        <v>398</v>
      </c>
    </row>
    <row r="47" spans="1:6" x14ac:dyDescent="0.25">
      <c r="B47" s="60" t="s">
        <v>399</v>
      </c>
      <c r="C47" s="60" t="s">
        <v>400</v>
      </c>
    </row>
    <row r="48" spans="1:6" x14ac:dyDescent="0.25">
      <c r="B48" t="s">
        <v>401</v>
      </c>
    </row>
    <row r="49" spans="1:7" x14ac:dyDescent="0.25">
      <c r="B49" s="60" t="s">
        <v>399</v>
      </c>
      <c r="C49" s="60" t="s">
        <v>402</v>
      </c>
      <c r="F49" s="60" t="s">
        <v>399</v>
      </c>
      <c r="G49" s="60" t="s">
        <v>403</v>
      </c>
    </row>
    <row r="50" spans="1:7" x14ac:dyDescent="0.25">
      <c r="B50" t="s">
        <v>404</v>
      </c>
      <c r="F50" t="s">
        <v>405</v>
      </c>
    </row>
    <row r="51" spans="1:7" x14ac:dyDescent="0.25">
      <c r="B51" t="s">
        <v>406</v>
      </c>
      <c r="F51" t="s">
        <v>407</v>
      </c>
    </row>
    <row r="53" spans="1:7" x14ac:dyDescent="0.25">
      <c r="B53" t="s">
        <v>408</v>
      </c>
    </row>
    <row r="55" spans="1:7" x14ac:dyDescent="0.25">
      <c r="B55" s="6" t="s">
        <v>409</v>
      </c>
    </row>
    <row r="57" spans="1:7" x14ac:dyDescent="0.25">
      <c r="B57" s="8" t="s">
        <v>396</v>
      </c>
    </row>
    <row r="58" spans="1:7" x14ac:dyDescent="0.25">
      <c r="B58" t="s">
        <v>304</v>
      </c>
      <c r="C58" s="3">
        <v>150</v>
      </c>
    </row>
    <row r="59" spans="1:7" x14ac:dyDescent="0.25">
      <c r="B59" t="s">
        <v>306</v>
      </c>
      <c r="C59" s="3">
        <v>200</v>
      </c>
    </row>
    <row r="62" spans="1:7" x14ac:dyDescent="0.25">
      <c r="A62" s="61" t="s">
        <v>410</v>
      </c>
    </row>
    <row r="63" spans="1:7" x14ac:dyDescent="0.25">
      <c r="A63" t="s">
        <v>411</v>
      </c>
    </row>
    <row r="65" spans="1:4" x14ac:dyDescent="0.25">
      <c r="A65" t="s">
        <v>373</v>
      </c>
      <c r="B65" t="s">
        <v>381</v>
      </c>
    </row>
    <row r="66" spans="1:4" x14ac:dyDescent="0.25">
      <c r="A66" t="s">
        <v>376</v>
      </c>
      <c r="B66" t="s">
        <v>384</v>
      </c>
    </row>
    <row r="68" spans="1:4" x14ac:dyDescent="0.25">
      <c r="A68" t="s">
        <v>412</v>
      </c>
    </row>
    <row r="70" spans="1:4" x14ac:dyDescent="0.25">
      <c r="B70" t="s">
        <v>381</v>
      </c>
      <c r="D70">
        <v>1</v>
      </c>
    </row>
    <row r="71" spans="1:4" x14ac:dyDescent="0.25">
      <c r="B71" t="s">
        <v>384</v>
      </c>
      <c r="D71">
        <v>2</v>
      </c>
    </row>
    <row r="73" spans="1:4" x14ac:dyDescent="0.25">
      <c r="B73" t="s">
        <v>413</v>
      </c>
    </row>
    <row r="74" spans="1:4" x14ac:dyDescent="0.25">
      <c r="B74" t="s">
        <v>414</v>
      </c>
      <c r="D74">
        <v>3</v>
      </c>
    </row>
    <row r="75" spans="1:4" x14ac:dyDescent="0.25">
      <c r="B75" t="s">
        <v>415</v>
      </c>
    </row>
    <row r="76" spans="1:4" x14ac:dyDescent="0.25">
      <c r="B76" t="s">
        <v>416</v>
      </c>
      <c r="D76">
        <v>4</v>
      </c>
    </row>
    <row r="77" spans="1:4" x14ac:dyDescent="0.25">
      <c r="B77" s="49" t="s">
        <v>417</v>
      </c>
    </row>
    <row r="78" spans="1:4" x14ac:dyDescent="0.25">
      <c r="B78" t="s">
        <v>418</v>
      </c>
    </row>
    <row r="79" spans="1:4" x14ac:dyDescent="0.25">
      <c r="B79" t="s">
        <v>419</v>
      </c>
      <c r="C79" s="3">
        <f>13500-9360</f>
        <v>4140</v>
      </c>
    </row>
    <row r="80" spans="1:4" ht="15.75" thickBot="1" x14ac:dyDescent="0.3">
      <c r="B80" s="64" t="s">
        <v>420</v>
      </c>
      <c r="C80" s="65">
        <f>4140/21</f>
        <v>197.14285714285714</v>
      </c>
    </row>
    <row r="81" spans="1:4" ht="15.75" thickTop="1" x14ac:dyDescent="0.25"/>
    <row r="82" spans="1:4" x14ac:dyDescent="0.25">
      <c r="B82" t="s">
        <v>421</v>
      </c>
    </row>
    <row r="83" spans="1:4" x14ac:dyDescent="0.25">
      <c r="B83" t="s">
        <v>422</v>
      </c>
    </row>
    <row r="84" spans="1:4" x14ac:dyDescent="0.25">
      <c r="B84" t="s">
        <v>423</v>
      </c>
      <c r="D84" s="7">
        <f>13500-(C80*45)</f>
        <v>4628.5714285714294</v>
      </c>
    </row>
    <row r="85" spans="1:4" ht="15.75" thickBot="1" x14ac:dyDescent="0.3">
      <c r="B85" s="64" t="s">
        <v>424</v>
      </c>
      <c r="C85" s="64">
        <v>154.29</v>
      </c>
      <c r="D85">
        <f>+D84/30</f>
        <v>154.28571428571431</v>
      </c>
    </row>
    <row r="86" spans="1:4" ht="15.75" thickTop="1" x14ac:dyDescent="0.25"/>
    <row r="87" spans="1:4" x14ac:dyDescent="0.25">
      <c r="A87" t="s">
        <v>425</v>
      </c>
    </row>
    <row r="88" spans="1:4" x14ac:dyDescent="0.25">
      <c r="B88" s="60" t="s">
        <v>399</v>
      </c>
      <c r="C88" s="60" t="s">
        <v>400</v>
      </c>
    </row>
    <row r="89" spans="1:4" ht="15.75" thickBot="1" x14ac:dyDescent="0.3">
      <c r="B89" t="s">
        <v>426</v>
      </c>
      <c r="D89" s="66">
        <f>(10*D85)+(14*C80)</f>
        <v>4302.8571428571431</v>
      </c>
    </row>
    <row r="90" spans="1:4" ht="15.75" thickTop="1" x14ac:dyDescent="0.25"/>
    <row r="92" spans="1:4" x14ac:dyDescent="0.25">
      <c r="A92" s="61" t="s">
        <v>427</v>
      </c>
    </row>
    <row r="93" spans="1:4" x14ac:dyDescent="0.25">
      <c r="A93" t="s">
        <v>428</v>
      </c>
    </row>
    <row r="95" spans="1:4" x14ac:dyDescent="0.25">
      <c r="A95" s="67" t="s">
        <v>429</v>
      </c>
    </row>
    <row r="97" spans="1:4" x14ac:dyDescent="0.25">
      <c r="A97" t="s">
        <v>373</v>
      </c>
      <c r="B97" t="s">
        <v>430</v>
      </c>
    </row>
    <row r="98" spans="1:4" x14ac:dyDescent="0.25">
      <c r="A98" t="s">
        <v>431</v>
      </c>
    </row>
    <row r="99" spans="1:4" x14ac:dyDescent="0.25">
      <c r="A99" t="s">
        <v>373</v>
      </c>
      <c r="B99" t="s">
        <v>432</v>
      </c>
      <c r="D99">
        <v>1</v>
      </c>
    </row>
    <row r="100" spans="1:4" x14ac:dyDescent="0.25">
      <c r="A100" t="s">
        <v>376</v>
      </c>
      <c r="B100" t="s">
        <v>433</v>
      </c>
      <c r="D100">
        <v>2</v>
      </c>
    </row>
    <row r="101" spans="1:4" x14ac:dyDescent="0.25">
      <c r="B101" t="s">
        <v>434</v>
      </c>
    </row>
    <row r="102" spans="1:4" x14ac:dyDescent="0.25">
      <c r="B102" t="s">
        <v>435</v>
      </c>
      <c r="D102">
        <v>3</v>
      </c>
    </row>
    <row r="103" spans="1:4" x14ac:dyDescent="0.25">
      <c r="B103" t="s">
        <v>436</v>
      </c>
    </row>
    <row r="104" spans="1:4" x14ac:dyDescent="0.25">
      <c r="B104" t="s">
        <v>416</v>
      </c>
      <c r="D104">
        <v>4</v>
      </c>
    </row>
    <row r="105" spans="1:4" x14ac:dyDescent="0.25">
      <c r="B105" s="49" t="s">
        <v>417</v>
      </c>
    </row>
    <row r="106" spans="1:4" x14ac:dyDescent="0.25">
      <c r="B106" t="s">
        <v>419</v>
      </c>
      <c r="C106" s="3">
        <f>13505-9360</f>
        <v>4145</v>
      </c>
    </row>
    <row r="107" spans="1:4" ht="15.75" thickBot="1" x14ac:dyDescent="0.3">
      <c r="B107" s="64" t="s">
        <v>420</v>
      </c>
      <c r="C107" s="65">
        <f>+C106/21</f>
        <v>197.38095238095238</v>
      </c>
    </row>
    <row r="108" spans="1:4" ht="15.75" thickTop="1" x14ac:dyDescent="0.25"/>
    <row r="109" spans="1:4" x14ac:dyDescent="0.25">
      <c r="B109" t="s">
        <v>435</v>
      </c>
    </row>
    <row r="110" spans="1:4" x14ac:dyDescent="0.25">
      <c r="B110" t="s">
        <v>437</v>
      </c>
    </row>
    <row r="111" spans="1:4" x14ac:dyDescent="0.25">
      <c r="B111" t="s">
        <v>438</v>
      </c>
      <c r="D111">
        <f>+C107*45</f>
        <v>8882.1428571428569</v>
      </c>
    </row>
    <row r="112" spans="1:4" ht="15.75" thickBot="1" x14ac:dyDescent="0.3">
      <c r="B112" s="64" t="s">
        <v>439</v>
      </c>
      <c r="C112" s="65">
        <f>+D112/30</f>
        <v>154.0952380952381</v>
      </c>
      <c r="D112">
        <f>13505-D111</f>
        <v>4622.8571428571431</v>
      </c>
    </row>
    <row r="113" spans="1:6" ht="15.75" thickTop="1" x14ac:dyDescent="0.25"/>
    <row r="114" spans="1:6" x14ac:dyDescent="0.25">
      <c r="A114" t="s">
        <v>440</v>
      </c>
    </row>
    <row r="115" spans="1:6" x14ac:dyDescent="0.25">
      <c r="B115" s="60" t="s">
        <v>399</v>
      </c>
      <c r="C115" s="60" t="s">
        <v>400</v>
      </c>
    </row>
    <row r="116" spans="1:6" ht="15.75" thickBot="1" x14ac:dyDescent="0.3">
      <c r="B116" t="s">
        <v>441</v>
      </c>
      <c r="D116" s="66">
        <f>(10*C112)+(14*C107)</f>
        <v>4304.2857142857147</v>
      </c>
    </row>
    <row r="117" spans="1:6" ht="15.75" thickTop="1" x14ac:dyDescent="0.25">
      <c r="A117" t="s">
        <v>442</v>
      </c>
      <c r="D117" s="7">
        <f>+D89</f>
        <v>4302.8571428571431</v>
      </c>
    </row>
    <row r="118" spans="1:6" ht="15.75" thickBot="1" x14ac:dyDescent="0.3">
      <c r="A118" s="52" t="s">
        <v>443</v>
      </c>
      <c r="B118" s="52"/>
      <c r="C118" s="52"/>
      <c r="D118" s="53">
        <f>D116-D117</f>
        <v>1.4285714285715585</v>
      </c>
      <c r="E118" t="s">
        <v>444</v>
      </c>
    </row>
    <row r="119" spans="1:6" ht="15.75" thickTop="1" x14ac:dyDescent="0.25">
      <c r="E119" s="3">
        <f>1.43*60</f>
        <v>85.8</v>
      </c>
      <c r="F119" t="s">
        <v>445</v>
      </c>
    </row>
    <row r="120" spans="1:6" x14ac:dyDescent="0.25">
      <c r="E120" s="3">
        <v>120</v>
      </c>
      <c r="F120" t="s">
        <v>446</v>
      </c>
    </row>
    <row r="121" spans="1:6" ht="15.75" thickBot="1" x14ac:dyDescent="0.3">
      <c r="E121" s="9">
        <f>SUM(E119:E120)</f>
        <v>205.8</v>
      </c>
      <c r="F121" t="s">
        <v>447</v>
      </c>
    </row>
    <row r="122" spans="1:6" ht="15.75" thickTop="1" x14ac:dyDescent="0.25"/>
    <row r="124" spans="1:6" x14ac:dyDescent="0.25">
      <c r="A124" s="67" t="s">
        <v>448</v>
      </c>
    </row>
    <row r="126" spans="1:6" x14ac:dyDescent="0.25">
      <c r="A126" t="s">
        <v>376</v>
      </c>
      <c r="B126" t="s">
        <v>433</v>
      </c>
    </row>
    <row r="127" spans="1:6" x14ac:dyDescent="0.25">
      <c r="A127" t="s">
        <v>449</v>
      </c>
    </row>
    <row r="128" spans="1:6" x14ac:dyDescent="0.25">
      <c r="A128" t="s">
        <v>376</v>
      </c>
      <c r="B128" t="s">
        <v>450</v>
      </c>
      <c r="D128">
        <v>1</v>
      </c>
    </row>
    <row r="129" spans="1:4" x14ac:dyDescent="0.25">
      <c r="A129" t="s">
        <v>373</v>
      </c>
      <c r="B129" t="s">
        <v>451</v>
      </c>
      <c r="D129">
        <v>2</v>
      </c>
    </row>
    <row r="130" spans="1:4" x14ac:dyDescent="0.25">
      <c r="B130" t="s">
        <v>452</v>
      </c>
    </row>
    <row r="131" spans="1:4" x14ac:dyDescent="0.25">
      <c r="B131" t="s">
        <v>453</v>
      </c>
      <c r="D131">
        <v>3</v>
      </c>
    </row>
    <row r="132" spans="1:4" x14ac:dyDescent="0.25">
      <c r="B132" t="s">
        <v>454</v>
      </c>
    </row>
    <row r="133" spans="1:4" x14ac:dyDescent="0.25">
      <c r="B133" t="s">
        <v>421</v>
      </c>
      <c r="D133">
        <v>4</v>
      </c>
    </row>
    <row r="134" spans="1:4" x14ac:dyDescent="0.25">
      <c r="B134" s="49" t="s">
        <v>455</v>
      </c>
    </row>
    <row r="135" spans="1:4" x14ac:dyDescent="0.25">
      <c r="B135" t="s">
        <v>419</v>
      </c>
      <c r="C135" s="3">
        <v>4134</v>
      </c>
    </row>
    <row r="136" spans="1:4" ht="15.75" thickBot="1" x14ac:dyDescent="0.3">
      <c r="B136" s="64" t="s">
        <v>420</v>
      </c>
      <c r="C136" s="65">
        <f>+C135/21</f>
        <v>196.85714285714286</v>
      </c>
    </row>
    <row r="137" spans="1:4" ht="15.75" thickTop="1" x14ac:dyDescent="0.25"/>
    <row r="138" spans="1:4" x14ac:dyDescent="0.25">
      <c r="B138" t="s">
        <v>421</v>
      </c>
    </row>
    <row r="139" spans="1:4" x14ac:dyDescent="0.25">
      <c r="B139" t="s">
        <v>456</v>
      </c>
    </row>
    <row r="140" spans="1:4" x14ac:dyDescent="0.25">
      <c r="B140" t="s">
        <v>457</v>
      </c>
      <c r="D140">
        <f>+C136*45</f>
        <v>8858.5714285714294</v>
      </c>
    </row>
    <row r="141" spans="1:4" ht="15.75" thickBot="1" x14ac:dyDescent="0.3">
      <c r="B141" s="64" t="s">
        <v>439</v>
      </c>
      <c r="C141" s="65">
        <f>+D141/30</f>
        <v>154.71428571428569</v>
      </c>
      <c r="D141">
        <f>13500-D140</f>
        <v>4641.4285714285706</v>
      </c>
    </row>
    <row r="142" spans="1:4" ht="15.75" thickTop="1" x14ac:dyDescent="0.25"/>
    <row r="143" spans="1:4" x14ac:dyDescent="0.25">
      <c r="A143" t="s">
        <v>458</v>
      </c>
    </row>
    <row r="144" spans="1:4" x14ac:dyDescent="0.25">
      <c r="B144" s="60" t="s">
        <v>399</v>
      </c>
      <c r="C144" s="60" t="s">
        <v>400</v>
      </c>
    </row>
    <row r="145" spans="1:6" ht="15.75" thickBot="1" x14ac:dyDescent="0.3">
      <c r="B145" t="s">
        <v>459</v>
      </c>
      <c r="D145" s="66">
        <f>(10*C141)+(14*C136)</f>
        <v>4303.1428571428569</v>
      </c>
    </row>
    <row r="146" spans="1:6" ht="15.75" thickTop="1" x14ac:dyDescent="0.25">
      <c r="A146" t="s">
        <v>442</v>
      </c>
      <c r="D146" s="7">
        <f>+D89</f>
        <v>4302.8571428571431</v>
      </c>
    </row>
    <row r="147" spans="1:6" ht="15.75" thickBot="1" x14ac:dyDescent="0.3">
      <c r="A147" s="52" t="s">
        <v>443</v>
      </c>
      <c r="B147" s="52"/>
      <c r="C147" s="52"/>
      <c r="D147" s="53">
        <f>D145-D146</f>
        <v>0.285714285713766</v>
      </c>
      <c r="E147" t="s">
        <v>460</v>
      </c>
    </row>
    <row r="148" spans="1:6" ht="15.75" thickTop="1" x14ac:dyDescent="0.25">
      <c r="E148" s="3">
        <f>D147*60</f>
        <v>17.14285714282596</v>
      </c>
      <c r="F148" t="s">
        <v>445</v>
      </c>
    </row>
    <row r="149" spans="1:6" x14ac:dyDescent="0.25">
      <c r="E149" s="3">
        <v>150</v>
      </c>
      <c r="F149" t="s">
        <v>446</v>
      </c>
    </row>
    <row r="150" spans="1:6" ht="15.75" thickBot="1" x14ac:dyDescent="0.3">
      <c r="E150" s="9">
        <f>SUM(E148:E149)</f>
        <v>167.14285714282596</v>
      </c>
      <c r="F150" t="s">
        <v>447</v>
      </c>
    </row>
    <row r="151" spans="1:6" ht="15.75" thickTop="1" x14ac:dyDescent="0.25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0"/>
  <sheetViews>
    <sheetView workbookViewId="0">
      <selection activeCell="F23" sqref="F23"/>
    </sheetView>
  </sheetViews>
  <sheetFormatPr defaultRowHeight="15" x14ac:dyDescent="0.25"/>
  <cols>
    <col min="1" max="1" width="16.7109375" customWidth="1"/>
    <col min="2" max="2" width="18.85546875" customWidth="1"/>
    <col min="3" max="3" width="9.42578125" customWidth="1"/>
    <col min="4" max="4" width="14.7109375" customWidth="1"/>
    <col min="5" max="5" width="13.5703125" customWidth="1"/>
    <col min="6" max="6" width="17.85546875" customWidth="1"/>
    <col min="7" max="7" width="3.5703125" customWidth="1"/>
  </cols>
  <sheetData>
    <row r="2" spans="1:8" x14ac:dyDescent="0.25">
      <c r="A2" s="6" t="s">
        <v>461</v>
      </c>
    </row>
    <row r="4" spans="1:8" x14ac:dyDescent="0.25">
      <c r="A4" s="13" t="s">
        <v>462</v>
      </c>
      <c r="B4" s="13" t="s">
        <v>463</v>
      </c>
    </row>
    <row r="5" spans="1:8" x14ac:dyDescent="0.25">
      <c r="B5" t="s">
        <v>464</v>
      </c>
      <c r="C5" t="s">
        <v>465</v>
      </c>
    </row>
    <row r="6" spans="1:8" x14ac:dyDescent="0.25">
      <c r="B6" t="s">
        <v>466</v>
      </c>
      <c r="C6" t="s">
        <v>467</v>
      </c>
    </row>
    <row r="8" spans="1:8" x14ac:dyDescent="0.25">
      <c r="A8" s="13" t="s">
        <v>468</v>
      </c>
      <c r="B8" s="13" t="s">
        <v>359</v>
      </c>
    </row>
    <row r="10" spans="1:8" x14ac:dyDescent="0.25">
      <c r="B10" t="s">
        <v>361</v>
      </c>
      <c r="C10" s="5" t="s">
        <v>12</v>
      </c>
      <c r="D10" t="s">
        <v>469</v>
      </c>
      <c r="H10" t="s">
        <v>363</v>
      </c>
    </row>
    <row r="11" spans="1:8" x14ac:dyDescent="0.25">
      <c r="H11" s="11" t="s">
        <v>306</v>
      </c>
    </row>
    <row r="12" spans="1:8" x14ac:dyDescent="0.25">
      <c r="A12" s="13" t="s">
        <v>470</v>
      </c>
      <c r="B12" s="13" t="s">
        <v>471</v>
      </c>
      <c r="H12">
        <v>50</v>
      </c>
    </row>
    <row r="14" spans="1:8" x14ac:dyDescent="0.25">
      <c r="B14" t="s">
        <v>111</v>
      </c>
      <c r="C14" t="s">
        <v>472</v>
      </c>
      <c r="D14" s="68" t="s">
        <v>473</v>
      </c>
      <c r="E14" s="3">
        <v>40</v>
      </c>
    </row>
    <row r="15" spans="1:8" x14ac:dyDescent="0.25">
      <c r="B15" t="s">
        <v>474</v>
      </c>
      <c r="C15" t="s">
        <v>475</v>
      </c>
      <c r="D15" s="68" t="s">
        <v>476</v>
      </c>
      <c r="E15" s="3">
        <v>100</v>
      </c>
      <c r="H15" t="s">
        <v>369</v>
      </c>
    </row>
    <row r="16" spans="1:8" x14ac:dyDescent="0.25">
      <c r="B16" t="s">
        <v>477</v>
      </c>
      <c r="C16" t="s">
        <v>478</v>
      </c>
      <c r="D16" s="68" t="s">
        <v>479</v>
      </c>
      <c r="E16" s="3">
        <v>180</v>
      </c>
      <c r="H16">
        <v>40</v>
      </c>
    </row>
    <row r="17" spans="1:17" x14ac:dyDescent="0.25">
      <c r="B17" t="s">
        <v>480</v>
      </c>
      <c r="C17" t="s">
        <v>481</v>
      </c>
      <c r="D17" s="68" t="s">
        <v>482</v>
      </c>
      <c r="E17" s="3">
        <v>20</v>
      </c>
    </row>
    <row r="18" spans="1:17" x14ac:dyDescent="0.25">
      <c r="B18" t="s">
        <v>483</v>
      </c>
      <c r="C18" t="s">
        <v>484</v>
      </c>
      <c r="D18" s="68" t="s">
        <v>485</v>
      </c>
      <c r="E18" s="3">
        <v>10</v>
      </c>
    </row>
    <row r="19" spans="1:17" x14ac:dyDescent="0.25">
      <c r="B19" t="s">
        <v>486</v>
      </c>
      <c r="D19" s="25" t="s">
        <v>487</v>
      </c>
      <c r="E19" s="25">
        <v>0</v>
      </c>
      <c r="H19" t="s">
        <v>488</v>
      </c>
    </row>
    <row r="20" spans="1:17" x14ac:dyDescent="0.25">
      <c r="H20">
        <v>30</v>
      </c>
      <c r="I20" t="s">
        <v>218</v>
      </c>
      <c r="L20" t="s">
        <v>489</v>
      </c>
    </row>
    <row r="21" spans="1:17" x14ac:dyDescent="0.25">
      <c r="A21" s="13" t="s">
        <v>490</v>
      </c>
      <c r="B21" s="13" t="s">
        <v>380</v>
      </c>
      <c r="I21" t="s">
        <v>218</v>
      </c>
    </row>
    <row r="22" spans="1:17" x14ac:dyDescent="0.25">
      <c r="C22" t="s">
        <v>472</v>
      </c>
      <c r="D22" s="68" t="s">
        <v>491</v>
      </c>
      <c r="E22" s="3" t="s">
        <v>492</v>
      </c>
      <c r="F22" t="s">
        <v>493</v>
      </c>
    </row>
    <row r="23" spans="1:17" x14ac:dyDescent="0.25">
      <c r="C23" t="s">
        <v>475</v>
      </c>
      <c r="D23" s="68" t="s">
        <v>494</v>
      </c>
      <c r="E23" s="3" t="s">
        <v>495</v>
      </c>
      <c r="F23" t="s">
        <v>496</v>
      </c>
    </row>
    <row r="24" spans="1:17" x14ac:dyDescent="0.25">
      <c r="C24" t="s">
        <v>478</v>
      </c>
      <c r="D24" s="68" t="s">
        <v>497</v>
      </c>
      <c r="E24" s="3" t="s">
        <v>498</v>
      </c>
      <c r="F24" t="s">
        <v>499</v>
      </c>
      <c r="H24">
        <v>20</v>
      </c>
      <c r="L24" t="s">
        <v>219</v>
      </c>
    </row>
    <row r="25" spans="1:17" x14ac:dyDescent="0.25">
      <c r="C25" t="s">
        <v>481</v>
      </c>
      <c r="D25" s="68" t="s">
        <v>500</v>
      </c>
      <c r="E25" s="3"/>
      <c r="F25" t="s">
        <v>501</v>
      </c>
    </row>
    <row r="26" spans="1:17" x14ac:dyDescent="0.25">
      <c r="C26" t="s">
        <v>484</v>
      </c>
      <c r="D26" s="68" t="s">
        <v>502</v>
      </c>
      <c r="E26" s="3"/>
      <c r="F26" t="s">
        <v>503</v>
      </c>
    </row>
    <row r="28" spans="1:17" x14ac:dyDescent="0.25">
      <c r="G28" t="s">
        <v>504</v>
      </c>
      <c r="H28">
        <v>10</v>
      </c>
      <c r="M28" t="s">
        <v>505</v>
      </c>
      <c r="Q28" t="s">
        <v>504</v>
      </c>
    </row>
    <row r="29" spans="1:17" x14ac:dyDescent="0.25">
      <c r="I29" t="s">
        <v>217</v>
      </c>
    </row>
    <row r="32" spans="1:17" x14ac:dyDescent="0.25">
      <c r="H32">
        <v>0</v>
      </c>
    </row>
    <row r="33" spans="1:19" x14ac:dyDescent="0.25">
      <c r="J33">
        <v>10</v>
      </c>
      <c r="L33">
        <v>20</v>
      </c>
      <c r="N33">
        <v>30</v>
      </c>
      <c r="P33">
        <v>40</v>
      </c>
      <c r="R33">
        <v>50</v>
      </c>
      <c r="S33" t="s">
        <v>304</v>
      </c>
    </row>
    <row r="34" spans="1:19" x14ac:dyDescent="0.25">
      <c r="L34" s="11" t="s">
        <v>506</v>
      </c>
      <c r="N34" t="s">
        <v>363</v>
      </c>
      <c r="Q34" s="11" t="s">
        <v>369</v>
      </c>
      <c r="R34" s="25" t="s">
        <v>488</v>
      </c>
    </row>
    <row r="35" spans="1:19" x14ac:dyDescent="0.25">
      <c r="A35" s="13" t="s">
        <v>507</v>
      </c>
      <c r="B35" s="13" t="s">
        <v>508</v>
      </c>
    </row>
    <row r="36" spans="1:19" x14ac:dyDescent="0.25">
      <c r="A36" s="69" t="s">
        <v>509</v>
      </c>
      <c r="B36" s="69" t="s">
        <v>389</v>
      </c>
    </row>
    <row r="37" spans="1:19" x14ac:dyDescent="0.25">
      <c r="E37" t="s">
        <v>469</v>
      </c>
      <c r="F37" s="13" t="s">
        <v>510</v>
      </c>
    </row>
    <row r="38" spans="1:19" x14ac:dyDescent="0.25">
      <c r="B38" s="25" t="s">
        <v>217</v>
      </c>
      <c r="D38" t="s">
        <v>503</v>
      </c>
      <c r="E38" t="s">
        <v>511</v>
      </c>
      <c r="F38" s="3">
        <f>10*4</f>
        <v>40</v>
      </c>
    </row>
    <row r="39" spans="1:19" x14ac:dyDescent="0.25">
      <c r="B39" s="70" t="s">
        <v>218</v>
      </c>
      <c r="C39" s="71"/>
      <c r="D39" s="71" t="s">
        <v>512</v>
      </c>
      <c r="E39" s="71" t="s">
        <v>513</v>
      </c>
      <c r="F39" s="72">
        <f>30*4</f>
        <v>120</v>
      </c>
      <c r="G39" s="10"/>
    </row>
    <row r="40" spans="1:19" x14ac:dyDescent="0.25">
      <c r="B40" s="40" t="s">
        <v>219</v>
      </c>
      <c r="C40" s="52"/>
      <c r="D40" s="52" t="s">
        <v>514</v>
      </c>
      <c r="E40" s="52" t="s">
        <v>515</v>
      </c>
      <c r="F40" s="58">
        <f>+(3*15)+(4*20)</f>
        <v>125</v>
      </c>
      <c r="G40" s="10" t="s">
        <v>516</v>
      </c>
    </row>
    <row r="41" spans="1:19" x14ac:dyDescent="0.25">
      <c r="B41" s="25" t="s">
        <v>505</v>
      </c>
      <c r="D41" t="s">
        <v>517</v>
      </c>
      <c r="E41" t="s">
        <v>518</v>
      </c>
      <c r="F41" s="3">
        <f>3*20+10*4</f>
        <v>100</v>
      </c>
    </row>
    <row r="43" spans="1:19" x14ac:dyDescent="0.25">
      <c r="B43" t="s">
        <v>519</v>
      </c>
    </row>
    <row r="44" spans="1:19" x14ac:dyDescent="0.25">
      <c r="B44" s="52" t="s">
        <v>520</v>
      </c>
    </row>
    <row r="46" spans="1:19" x14ac:dyDescent="0.25">
      <c r="A46" t="s">
        <v>521</v>
      </c>
    </row>
    <row r="48" spans="1:19" x14ac:dyDescent="0.25">
      <c r="A48" s="61" t="s">
        <v>522</v>
      </c>
    </row>
    <row r="49" spans="1:4" x14ac:dyDescent="0.25">
      <c r="A49" t="s">
        <v>523</v>
      </c>
    </row>
    <row r="51" spans="1:4" x14ac:dyDescent="0.25">
      <c r="A51" t="s">
        <v>475</v>
      </c>
      <c r="B51" s="68" t="s">
        <v>494</v>
      </c>
      <c r="D51" t="s">
        <v>474</v>
      </c>
    </row>
    <row r="52" spans="1:4" x14ac:dyDescent="0.25">
      <c r="A52" t="s">
        <v>478</v>
      </c>
      <c r="B52" s="68" t="s">
        <v>497</v>
      </c>
      <c r="D52" t="s">
        <v>477</v>
      </c>
    </row>
    <row r="54" spans="1:4" x14ac:dyDescent="0.25">
      <c r="A54" t="s">
        <v>412</v>
      </c>
    </row>
    <row r="56" spans="1:4" x14ac:dyDescent="0.25">
      <c r="B56" s="68" t="s">
        <v>494</v>
      </c>
      <c r="D56">
        <v>1</v>
      </c>
    </row>
    <row r="57" spans="1:4" x14ac:dyDescent="0.25">
      <c r="B57" s="68" t="s">
        <v>497</v>
      </c>
      <c r="D57">
        <v>2</v>
      </c>
    </row>
    <row r="59" spans="1:4" x14ac:dyDescent="0.25">
      <c r="B59" s="49" t="s">
        <v>524</v>
      </c>
    </row>
    <row r="60" spans="1:4" x14ac:dyDescent="0.25">
      <c r="B60" t="s">
        <v>525</v>
      </c>
    </row>
    <row r="61" spans="1:4" x14ac:dyDescent="0.25">
      <c r="B61" t="s">
        <v>526</v>
      </c>
      <c r="C61" s="3">
        <v>80</v>
      </c>
    </row>
    <row r="62" spans="1:4" ht="15.75" thickBot="1" x14ac:dyDescent="0.3">
      <c r="B62" s="64" t="s">
        <v>420</v>
      </c>
      <c r="C62" s="65">
        <v>20</v>
      </c>
    </row>
    <row r="63" spans="1:4" ht="15.75" thickTop="1" x14ac:dyDescent="0.25"/>
    <row r="64" spans="1:4" x14ac:dyDescent="0.25">
      <c r="B64" s="68" t="s">
        <v>494</v>
      </c>
    </row>
    <row r="65" spans="1:4" x14ac:dyDescent="0.25">
      <c r="B65" t="s">
        <v>527</v>
      </c>
    </row>
    <row r="66" spans="1:4" x14ac:dyDescent="0.25">
      <c r="B66" t="s">
        <v>528</v>
      </c>
      <c r="D66" s="7"/>
    </row>
    <row r="67" spans="1:4" ht="15.75" thickBot="1" x14ac:dyDescent="0.3">
      <c r="B67" s="64" t="s">
        <v>424</v>
      </c>
      <c r="C67" s="65">
        <v>15</v>
      </c>
    </row>
    <row r="68" spans="1:4" ht="15.75" thickTop="1" x14ac:dyDescent="0.25"/>
    <row r="69" spans="1:4" x14ac:dyDescent="0.25">
      <c r="A69" t="s">
        <v>425</v>
      </c>
    </row>
    <row r="70" spans="1:4" x14ac:dyDescent="0.25">
      <c r="B70" s="60" t="s">
        <v>469</v>
      </c>
      <c r="C70" s="60" t="s">
        <v>400</v>
      </c>
    </row>
    <row r="71" spans="1:4" ht="15.75" thickBot="1" x14ac:dyDescent="0.3">
      <c r="B71" t="s">
        <v>529</v>
      </c>
      <c r="D71" s="66">
        <f>(3*C67)+(4*C62)</f>
        <v>125</v>
      </c>
    </row>
    <row r="72" spans="1:4" ht="15.75" thickTop="1" x14ac:dyDescent="0.25"/>
    <row r="74" spans="1:4" x14ac:dyDescent="0.25">
      <c r="A74" s="61" t="s">
        <v>427</v>
      </c>
    </row>
    <row r="75" spans="1:4" x14ac:dyDescent="0.25">
      <c r="A75" t="s">
        <v>530</v>
      </c>
    </row>
    <row r="77" spans="1:4" x14ac:dyDescent="0.25">
      <c r="A77" s="67" t="s">
        <v>448</v>
      </c>
    </row>
    <row r="79" spans="1:4" x14ac:dyDescent="0.25">
      <c r="A79" t="s">
        <v>531</v>
      </c>
      <c r="B79" s="73" t="s">
        <v>532</v>
      </c>
    </row>
    <row r="80" spans="1:4" x14ac:dyDescent="0.25">
      <c r="A80" t="s">
        <v>533</v>
      </c>
    </row>
    <row r="81" spans="1:6" x14ac:dyDescent="0.25">
      <c r="A81" t="s">
        <v>531</v>
      </c>
      <c r="B81" s="73" t="s">
        <v>534</v>
      </c>
      <c r="D81">
        <v>1</v>
      </c>
    </row>
    <row r="82" spans="1:6" x14ac:dyDescent="0.25">
      <c r="A82" t="s">
        <v>535</v>
      </c>
      <c r="B82" s="73" t="s">
        <v>536</v>
      </c>
      <c r="D82">
        <v>2</v>
      </c>
    </row>
    <row r="83" spans="1:6" x14ac:dyDescent="0.25">
      <c r="B83" s="49" t="s">
        <v>524</v>
      </c>
    </row>
    <row r="84" spans="1:6" x14ac:dyDescent="0.25">
      <c r="B84" t="s">
        <v>526</v>
      </c>
      <c r="C84" s="3">
        <v>79</v>
      </c>
    </row>
    <row r="85" spans="1:6" ht="15.75" thickBot="1" x14ac:dyDescent="0.3">
      <c r="B85" s="64" t="s">
        <v>420</v>
      </c>
      <c r="C85" s="74">
        <f>+C84/4</f>
        <v>19.75</v>
      </c>
    </row>
    <row r="86" spans="1:6" ht="15.75" thickTop="1" x14ac:dyDescent="0.25"/>
    <row r="87" spans="1:6" x14ac:dyDescent="0.25">
      <c r="B87" s="73" t="s">
        <v>497</v>
      </c>
    </row>
    <row r="88" spans="1:6" x14ac:dyDescent="0.25">
      <c r="B88" t="s">
        <v>537</v>
      </c>
    </row>
    <row r="89" spans="1:6" x14ac:dyDescent="0.25">
      <c r="B89" t="s">
        <v>538</v>
      </c>
    </row>
    <row r="90" spans="1:6" ht="15.75" thickBot="1" x14ac:dyDescent="0.3">
      <c r="B90" s="64" t="s">
        <v>439</v>
      </c>
      <c r="C90" s="74">
        <v>15.375</v>
      </c>
    </row>
    <row r="91" spans="1:6" ht="15.75" thickTop="1" x14ac:dyDescent="0.25">
      <c r="F91" s="3"/>
    </row>
    <row r="92" spans="1:6" x14ac:dyDescent="0.25">
      <c r="A92" t="s">
        <v>539</v>
      </c>
      <c r="F92" s="3"/>
    </row>
    <row r="93" spans="1:6" x14ac:dyDescent="0.25">
      <c r="B93" s="60" t="s">
        <v>469</v>
      </c>
      <c r="C93" s="60" t="s">
        <v>400</v>
      </c>
      <c r="F93" s="3"/>
    </row>
    <row r="94" spans="1:6" ht="15.75" thickBot="1" x14ac:dyDescent="0.3">
      <c r="B94" t="s">
        <v>540</v>
      </c>
      <c r="D94" s="66">
        <f>(3*C90)+(4*C85)</f>
        <v>125.125</v>
      </c>
    </row>
    <row r="95" spans="1:6" ht="15.75" thickTop="1" x14ac:dyDescent="0.25">
      <c r="A95" t="s">
        <v>442</v>
      </c>
      <c r="D95" s="7">
        <f>+D71</f>
        <v>125</v>
      </c>
    </row>
    <row r="96" spans="1:6" ht="15.75" thickBot="1" x14ac:dyDescent="0.3">
      <c r="A96" s="52" t="s">
        <v>443</v>
      </c>
      <c r="B96" s="52"/>
      <c r="C96" s="52"/>
      <c r="D96" s="53">
        <f>D94-D95</f>
        <v>0.125</v>
      </c>
      <c r="E96" t="s">
        <v>541</v>
      </c>
    </row>
    <row r="97" spans="1:6" ht="15.75" thickTop="1" x14ac:dyDescent="0.25"/>
    <row r="98" spans="1:6" x14ac:dyDescent="0.25">
      <c r="A98" s="67" t="s">
        <v>429</v>
      </c>
    </row>
    <row r="100" spans="1:6" x14ac:dyDescent="0.25">
      <c r="A100" t="s">
        <v>535</v>
      </c>
      <c r="B100" s="73" t="s">
        <v>536</v>
      </c>
    </row>
    <row r="101" spans="1:6" x14ac:dyDescent="0.25">
      <c r="A101" t="s">
        <v>542</v>
      </c>
    </row>
    <row r="102" spans="1:6" x14ac:dyDescent="0.25">
      <c r="A102" t="s">
        <v>535</v>
      </c>
      <c r="B102" s="73" t="s">
        <v>543</v>
      </c>
    </row>
    <row r="103" spans="1:6" x14ac:dyDescent="0.25">
      <c r="A103" t="s">
        <v>531</v>
      </c>
      <c r="B103" s="73" t="s">
        <v>532</v>
      </c>
    </row>
    <row r="104" spans="1:6" x14ac:dyDescent="0.25">
      <c r="B104" s="49" t="s">
        <v>544</v>
      </c>
    </row>
    <row r="105" spans="1:6" x14ac:dyDescent="0.25">
      <c r="B105" t="s">
        <v>526</v>
      </c>
      <c r="C105" s="3">
        <v>81</v>
      </c>
    </row>
    <row r="106" spans="1:6" ht="15.75" thickBot="1" x14ac:dyDescent="0.3">
      <c r="B106" s="64" t="s">
        <v>420</v>
      </c>
      <c r="C106" s="74">
        <f>+C105/4</f>
        <v>20.25</v>
      </c>
    </row>
    <row r="107" spans="1:6" ht="15.75" thickTop="1" x14ac:dyDescent="0.25"/>
    <row r="108" spans="1:6" x14ac:dyDescent="0.25">
      <c r="B108" s="73" t="s">
        <v>543</v>
      </c>
    </row>
    <row r="109" spans="1:6" x14ac:dyDescent="0.25">
      <c r="B109" t="s">
        <v>545</v>
      </c>
      <c r="E109" s="75"/>
    </row>
    <row r="110" spans="1:6" x14ac:dyDescent="0.25">
      <c r="B110" t="s">
        <v>546</v>
      </c>
    </row>
    <row r="111" spans="1:6" ht="15.75" thickBot="1" x14ac:dyDescent="0.3">
      <c r="B111" s="64" t="s">
        <v>439</v>
      </c>
      <c r="C111" s="74">
        <f>59.5/4</f>
        <v>14.875</v>
      </c>
    </row>
    <row r="112" spans="1:6" ht="15.75" thickTop="1" x14ac:dyDescent="0.25">
      <c r="F112" s="3"/>
    </row>
    <row r="113" spans="1:6" x14ac:dyDescent="0.25">
      <c r="A113" t="s">
        <v>547</v>
      </c>
      <c r="F113" s="3"/>
    </row>
    <row r="114" spans="1:6" x14ac:dyDescent="0.25">
      <c r="B114" s="60" t="s">
        <v>469</v>
      </c>
      <c r="C114" s="60" t="s">
        <v>400</v>
      </c>
      <c r="F114" s="3"/>
    </row>
    <row r="115" spans="1:6" ht="15.75" thickBot="1" x14ac:dyDescent="0.3">
      <c r="B115" t="s">
        <v>548</v>
      </c>
      <c r="D115" s="66">
        <f>(3*C111)+(4*C106)</f>
        <v>125.625</v>
      </c>
      <c r="F115" s="7"/>
    </row>
    <row r="116" spans="1:6" ht="15.75" thickTop="1" x14ac:dyDescent="0.25">
      <c r="A116" t="s">
        <v>442</v>
      </c>
      <c r="D116" s="7">
        <f>+D71</f>
        <v>125</v>
      </c>
    </row>
    <row r="117" spans="1:6" ht="15.75" thickBot="1" x14ac:dyDescent="0.3">
      <c r="A117" s="52" t="s">
        <v>443</v>
      </c>
      <c r="B117" s="52"/>
      <c r="C117" s="52"/>
      <c r="D117" s="53">
        <f>D115-D116</f>
        <v>0.625</v>
      </c>
      <c r="E117" t="s">
        <v>541</v>
      </c>
    </row>
    <row r="118" spans="1:6" ht="15.75" thickTop="1" x14ac:dyDescent="0.25"/>
    <row r="120" spans="1:6" x14ac:dyDescent="0.25">
      <c r="A120" t="s">
        <v>549</v>
      </c>
    </row>
    <row r="121" spans="1:6" x14ac:dyDescent="0.25">
      <c r="A121" t="s">
        <v>550</v>
      </c>
    </row>
    <row r="123" spans="1:6" x14ac:dyDescent="0.25">
      <c r="A123" t="s">
        <v>111</v>
      </c>
      <c r="B123" t="s">
        <v>472</v>
      </c>
      <c r="C123" s="68" t="s">
        <v>551</v>
      </c>
      <c r="D123" s="3">
        <v>40</v>
      </c>
    </row>
    <row r="125" spans="1:6" x14ac:dyDescent="0.25">
      <c r="B125" t="s">
        <v>552</v>
      </c>
      <c r="C125" t="s">
        <v>553</v>
      </c>
      <c r="D125" s="3">
        <v>15</v>
      </c>
    </row>
    <row r="126" spans="1:6" x14ac:dyDescent="0.25">
      <c r="B126" t="s">
        <v>554</v>
      </c>
      <c r="C126" t="s">
        <v>555</v>
      </c>
      <c r="D126" s="3">
        <v>20</v>
      </c>
    </row>
    <row r="127" spans="1:6" x14ac:dyDescent="0.25">
      <c r="D127" s="7">
        <f>SUM(D125:D126)</f>
        <v>35</v>
      </c>
    </row>
    <row r="129" spans="2:5" ht="15.75" thickBot="1" x14ac:dyDescent="0.3">
      <c r="B129" t="s">
        <v>556</v>
      </c>
      <c r="C129" t="s">
        <v>557</v>
      </c>
      <c r="D129" s="65">
        <v>5</v>
      </c>
      <c r="E129" t="s">
        <v>558</v>
      </c>
    </row>
    <row r="130" spans="2:5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workbookViewId="0">
      <selection activeCell="E22" sqref="E22"/>
    </sheetView>
  </sheetViews>
  <sheetFormatPr defaultRowHeight="15" x14ac:dyDescent="0.25"/>
  <cols>
    <col min="2" max="2" width="14.5703125" customWidth="1"/>
    <col min="3" max="4" width="14.42578125" customWidth="1"/>
    <col min="5" max="5" width="10.85546875" customWidth="1"/>
    <col min="6" max="6" width="10.28515625" customWidth="1"/>
    <col min="7" max="7" width="2.28515625" customWidth="1"/>
    <col min="8" max="8" width="1.85546875" customWidth="1"/>
  </cols>
  <sheetData>
    <row r="2" spans="1:15" x14ac:dyDescent="0.25">
      <c r="A2" s="6" t="s">
        <v>559</v>
      </c>
    </row>
    <row r="4" spans="1:15" x14ac:dyDescent="0.25">
      <c r="A4" s="13" t="s">
        <v>462</v>
      </c>
      <c r="B4" s="13" t="s">
        <v>463</v>
      </c>
    </row>
    <row r="5" spans="1:15" x14ac:dyDescent="0.25">
      <c r="B5" t="s">
        <v>464</v>
      </c>
      <c r="C5" t="s">
        <v>560</v>
      </c>
    </row>
    <row r="6" spans="1:15" x14ac:dyDescent="0.25">
      <c r="B6" t="s">
        <v>466</v>
      </c>
      <c r="C6" t="s">
        <v>561</v>
      </c>
    </row>
    <row r="8" spans="1:15" x14ac:dyDescent="0.25">
      <c r="A8" s="13" t="s">
        <v>468</v>
      </c>
      <c r="B8" s="13" t="s">
        <v>359</v>
      </c>
      <c r="I8" s="11" t="s">
        <v>306</v>
      </c>
    </row>
    <row r="9" spans="1:15" x14ac:dyDescent="0.25">
      <c r="I9" s="25" t="s">
        <v>488</v>
      </c>
    </row>
    <row r="10" spans="1:15" x14ac:dyDescent="0.25">
      <c r="B10" t="s">
        <v>562</v>
      </c>
      <c r="C10" s="5" t="s">
        <v>12</v>
      </c>
      <c r="D10" t="s">
        <v>563</v>
      </c>
      <c r="I10">
        <v>160</v>
      </c>
      <c r="J10" s="25" t="s">
        <v>81</v>
      </c>
    </row>
    <row r="11" spans="1:15" x14ac:dyDescent="0.25">
      <c r="I11" t="s">
        <v>363</v>
      </c>
    </row>
    <row r="12" spans="1:15" x14ac:dyDescent="0.25">
      <c r="A12" s="13" t="s">
        <v>470</v>
      </c>
      <c r="B12" s="13" t="s">
        <v>471</v>
      </c>
      <c r="O12" t="s">
        <v>564</v>
      </c>
    </row>
    <row r="14" spans="1:15" x14ac:dyDescent="0.25">
      <c r="B14" t="s">
        <v>565</v>
      </c>
      <c r="C14" t="s">
        <v>472</v>
      </c>
      <c r="D14" s="73" t="s">
        <v>566</v>
      </c>
      <c r="E14" s="3">
        <v>100</v>
      </c>
      <c r="I14">
        <v>120</v>
      </c>
    </row>
    <row r="15" spans="1:15" x14ac:dyDescent="0.25">
      <c r="B15" t="s">
        <v>567</v>
      </c>
      <c r="C15" t="s">
        <v>475</v>
      </c>
      <c r="D15" s="73" t="s">
        <v>568</v>
      </c>
      <c r="E15" s="3">
        <v>15</v>
      </c>
      <c r="I15" t="s">
        <v>369</v>
      </c>
    </row>
    <row r="16" spans="1:15" x14ac:dyDescent="0.25">
      <c r="B16" t="s">
        <v>569</v>
      </c>
      <c r="C16" t="s">
        <v>478</v>
      </c>
      <c r="D16" s="73" t="s">
        <v>570</v>
      </c>
      <c r="E16" s="3">
        <v>8</v>
      </c>
      <c r="I16">
        <v>100</v>
      </c>
    </row>
    <row r="17" spans="1:20" x14ac:dyDescent="0.25">
      <c r="B17" t="s">
        <v>571</v>
      </c>
      <c r="C17" t="s">
        <v>481</v>
      </c>
      <c r="D17" s="68" t="s">
        <v>572</v>
      </c>
      <c r="E17" s="3">
        <v>25</v>
      </c>
    </row>
    <row r="18" spans="1:20" x14ac:dyDescent="0.25">
      <c r="I18">
        <v>80</v>
      </c>
    </row>
    <row r="19" spans="1:20" x14ac:dyDescent="0.25">
      <c r="A19" s="13" t="s">
        <v>490</v>
      </c>
      <c r="B19" s="13" t="s">
        <v>380</v>
      </c>
    </row>
    <row r="20" spans="1:20" x14ac:dyDescent="0.25">
      <c r="I20" t="s">
        <v>506</v>
      </c>
    </row>
    <row r="21" spans="1:20" x14ac:dyDescent="0.25">
      <c r="B21" t="s">
        <v>472</v>
      </c>
      <c r="C21" s="73" t="s">
        <v>551</v>
      </c>
      <c r="D21" s="3">
        <v>100</v>
      </c>
      <c r="E21" t="s">
        <v>405</v>
      </c>
      <c r="F21" t="s">
        <v>573</v>
      </c>
    </row>
    <row r="22" spans="1:20" x14ac:dyDescent="0.25">
      <c r="B22" t="s">
        <v>475</v>
      </c>
      <c r="C22" s="73" t="s">
        <v>574</v>
      </c>
      <c r="D22" s="3">
        <v>15</v>
      </c>
      <c r="E22" t="s">
        <v>575</v>
      </c>
      <c r="F22" t="s">
        <v>576</v>
      </c>
      <c r="I22">
        <v>40</v>
      </c>
      <c r="O22" t="s">
        <v>84</v>
      </c>
    </row>
    <row r="23" spans="1:20" x14ac:dyDescent="0.25">
      <c r="B23" t="s">
        <v>478</v>
      </c>
      <c r="C23" s="73" t="s">
        <v>577</v>
      </c>
      <c r="D23" s="3">
        <v>8</v>
      </c>
      <c r="E23" t="s">
        <v>578</v>
      </c>
      <c r="F23" t="s">
        <v>579</v>
      </c>
      <c r="P23" t="s">
        <v>88</v>
      </c>
    </row>
    <row r="24" spans="1:20" x14ac:dyDescent="0.25">
      <c r="B24" t="s">
        <v>481</v>
      </c>
      <c r="C24" s="73" t="s">
        <v>580</v>
      </c>
      <c r="D24" s="3">
        <v>25</v>
      </c>
      <c r="E24" t="s">
        <v>581</v>
      </c>
      <c r="F24" t="s">
        <v>582</v>
      </c>
    </row>
    <row r="25" spans="1:20" x14ac:dyDescent="0.25">
      <c r="T25" t="s">
        <v>91</v>
      </c>
    </row>
    <row r="26" spans="1:20" x14ac:dyDescent="0.25">
      <c r="I26">
        <v>0</v>
      </c>
    </row>
    <row r="27" spans="1:20" x14ac:dyDescent="0.25">
      <c r="A27" s="13" t="s">
        <v>507</v>
      </c>
      <c r="B27" s="13" t="s">
        <v>508</v>
      </c>
      <c r="K27">
        <v>25</v>
      </c>
      <c r="M27">
        <v>50</v>
      </c>
      <c r="N27" t="s">
        <v>363</v>
      </c>
      <c r="O27">
        <v>75</v>
      </c>
      <c r="P27" s="11" t="s">
        <v>488</v>
      </c>
      <c r="Q27">
        <v>100</v>
      </c>
      <c r="R27" s="25" t="s">
        <v>369</v>
      </c>
      <c r="S27">
        <v>125</v>
      </c>
      <c r="T27" s="25" t="s">
        <v>304</v>
      </c>
    </row>
    <row r="28" spans="1:20" x14ac:dyDescent="0.25">
      <c r="A28" s="69" t="s">
        <v>509</v>
      </c>
      <c r="B28" s="69" t="s">
        <v>389</v>
      </c>
    </row>
    <row r="29" spans="1:20" x14ac:dyDescent="0.25">
      <c r="D29" s="10" t="s">
        <v>563</v>
      </c>
    </row>
    <row r="30" spans="1:20" x14ac:dyDescent="0.25">
      <c r="B30" t="s">
        <v>81</v>
      </c>
      <c r="C30" t="s">
        <v>578</v>
      </c>
      <c r="D30" t="s">
        <v>583</v>
      </c>
      <c r="E30" s="3">
        <f>8*160</f>
        <v>1280</v>
      </c>
    </row>
    <row r="31" spans="1:20" x14ac:dyDescent="0.25">
      <c r="B31" s="1" t="s">
        <v>84</v>
      </c>
      <c r="C31" s="1" t="s">
        <v>584</v>
      </c>
      <c r="D31" s="1" t="s">
        <v>585</v>
      </c>
      <c r="E31" s="22">
        <f>(12*60)+(8*40)</f>
        <v>1040</v>
      </c>
      <c r="F31" s="1" t="s">
        <v>586</v>
      </c>
    </row>
    <row r="32" spans="1:20" x14ac:dyDescent="0.25">
      <c r="B32" t="s">
        <v>88</v>
      </c>
      <c r="C32" t="s">
        <v>587</v>
      </c>
      <c r="D32" t="s">
        <v>588</v>
      </c>
      <c r="E32" s="3">
        <f>(12*75)+(8*25)</f>
        <v>1100</v>
      </c>
    </row>
    <row r="33" spans="2:5" x14ac:dyDescent="0.25">
      <c r="B33" t="s">
        <v>91</v>
      </c>
      <c r="C33" t="s">
        <v>589</v>
      </c>
      <c r="D33" t="s">
        <v>590</v>
      </c>
      <c r="E33" s="3">
        <f>12*125</f>
        <v>1500</v>
      </c>
    </row>
    <row r="34" spans="2:5" x14ac:dyDescent="0.25">
      <c r="C34" s="43" t="s">
        <v>591</v>
      </c>
    </row>
    <row r="35" spans="2:5" x14ac:dyDescent="0.25">
      <c r="B35" t="s">
        <v>592</v>
      </c>
      <c r="C35" s="3">
        <v>60</v>
      </c>
    </row>
    <row r="36" spans="2:5" x14ac:dyDescent="0.25">
      <c r="B36" t="s">
        <v>593</v>
      </c>
      <c r="C36" s="3">
        <v>40</v>
      </c>
    </row>
    <row r="37" spans="2:5" ht="15.75" thickBot="1" x14ac:dyDescent="0.3">
      <c r="C37" s="9">
        <f>SUM(C35:C36)</f>
        <v>100</v>
      </c>
    </row>
    <row r="38" spans="2:5" ht="15.75" thickTop="1" x14ac:dyDescent="0.25"/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workbookViewId="0">
      <selection activeCell="D22" sqref="D22"/>
    </sheetView>
  </sheetViews>
  <sheetFormatPr defaultRowHeight="15" x14ac:dyDescent="0.25"/>
  <cols>
    <col min="1" max="1" width="18.42578125" customWidth="1"/>
    <col min="2" max="2" width="22.140625" customWidth="1"/>
    <col min="3" max="3" width="14.5703125" customWidth="1"/>
    <col min="4" max="4" width="20.7109375" customWidth="1"/>
    <col min="5" max="5" width="11.7109375" customWidth="1"/>
    <col min="6" max="7" width="9.5703125" bestFit="1" customWidth="1"/>
  </cols>
  <sheetData>
    <row r="2" spans="1:6" x14ac:dyDescent="0.25">
      <c r="A2" s="6" t="s">
        <v>594</v>
      </c>
    </row>
    <row r="4" spans="1:6" x14ac:dyDescent="0.25">
      <c r="A4" s="6" t="s">
        <v>354</v>
      </c>
      <c r="B4" s="6" t="s">
        <v>355</v>
      </c>
    </row>
    <row r="5" spans="1:6" x14ac:dyDescent="0.25">
      <c r="B5" t="s">
        <v>595</v>
      </c>
    </row>
    <row r="6" spans="1:6" x14ac:dyDescent="0.25">
      <c r="B6" t="s">
        <v>596</v>
      </c>
    </row>
    <row r="8" spans="1:6" x14ac:dyDescent="0.25">
      <c r="A8" s="6" t="s">
        <v>358</v>
      </c>
      <c r="B8" s="6" t="s">
        <v>359</v>
      </c>
    </row>
    <row r="10" spans="1:6" x14ac:dyDescent="0.25">
      <c r="B10" s="52" t="s">
        <v>361</v>
      </c>
      <c r="C10" s="60" t="s">
        <v>597</v>
      </c>
    </row>
    <row r="12" spans="1:6" x14ac:dyDescent="0.25">
      <c r="D12" s="35" t="s">
        <v>598</v>
      </c>
      <c r="E12" s="35"/>
      <c r="F12" s="35" t="s">
        <v>599</v>
      </c>
    </row>
    <row r="13" spans="1:6" x14ac:dyDescent="0.25">
      <c r="B13" t="s">
        <v>131</v>
      </c>
      <c r="D13" s="3">
        <v>1200</v>
      </c>
      <c r="E13" s="3"/>
      <c r="F13" s="3">
        <v>1000</v>
      </c>
    </row>
    <row r="14" spans="1:6" x14ac:dyDescent="0.25">
      <c r="B14" s="6" t="s">
        <v>132</v>
      </c>
    </row>
    <row r="15" spans="1:6" x14ac:dyDescent="0.25">
      <c r="B15" t="s">
        <v>111</v>
      </c>
      <c r="C15" t="s">
        <v>600</v>
      </c>
      <c r="D15" s="3">
        <f>-1000*0.25</f>
        <v>-250</v>
      </c>
      <c r="E15" t="s">
        <v>601</v>
      </c>
      <c r="F15" s="3">
        <f>-1000*0.5</f>
        <v>-500</v>
      </c>
    </row>
    <row r="16" spans="1:6" x14ac:dyDescent="0.25">
      <c r="B16" t="s">
        <v>602</v>
      </c>
      <c r="C16" t="s">
        <v>603</v>
      </c>
      <c r="D16" s="3">
        <f>-2*250</f>
        <v>-500</v>
      </c>
      <c r="E16" t="s">
        <v>604</v>
      </c>
      <c r="F16" s="3">
        <v>-250</v>
      </c>
    </row>
    <row r="17" spans="1:11" x14ac:dyDescent="0.25">
      <c r="B17" t="s">
        <v>605</v>
      </c>
      <c r="C17" t="s">
        <v>606</v>
      </c>
      <c r="D17" s="3">
        <v>-150</v>
      </c>
      <c r="F17" s="3">
        <v>-150</v>
      </c>
    </row>
    <row r="18" spans="1:11" ht="15.75" thickBot="1" x14ac:dyDescent="0.3">
      <c r="B18" s="6" t="s">
        <v>192</v>
      </c>
      <c r="C18" s="6"/>
      <c r="D18" s="51">
        <f>SUM(D13:D17)</f>
        <v>300</v>
      </c>
      <c r="E18" s="6"/>
      <c r="F18" s="51">
        <f>SUM(F13:F17)</f>
        <v>100</v>
      </c>
    </row>
    <row r="19" spans="1:11" ht="15.75" thickTop="1" x14ac:dyDescent="0.25">
      <c r="G19" s="11" t="s">
        <v>306</v>
      </c>
    </row>
    <row r="20" spans="1:11" x14ac:dyDescent="0.25">
      <c r="A20" s="6" t="s">
        <v>371</v>
      </c>
      <c r="B20" s="6" t="s">
        <v>372</v>
      </c>
      <c r="G20" s="25" t="s">
        <v>363</v>
      </c>
      <c r="J20" s="11" t="s">
        <v>506</v>
      </c>
    </row>
    <row r="21" spans="1:11" x14ac:dyDescent="0.25">
      <c r="A21" t="s">
        <v>607</v>
      </c>
      <c r="B21" t="s">
        <v>608</v>
      </c>
      <c r="C21" s="3">
        <v>1000</v>
      </c>
      <c r="G21" s="3">
        <v>4000</v>
      </c>
    </row>
    <row r="22" spans="1:11" x14ac:dyDescent="0.25">
      <c r="A22" t="s">
        <v>609</v>
      </c>
      <c r="B22" t="s">
        <v>610</v>
      </c>
      <c r="C22" s="3">
        <v>4000</v>
      </c>
      <c r="G22" s="3"/>
    </row>
    <row r="23" spans="1:11" x14ac:dyDescent="0.25">
      <c r="A23" t="s">
        <v>611</v>
      </c>
      <c r="B23" t="s">
        <v>612</v>
      </c>
      <c r="C23" s="3">
        <v>3000</v>
      </c>
      <c r="G23" s="3"/>
    </row>
    <row r="24" spans="1:11" x14ac:dyDescent="0.25">
      <c r="A24" t="s">
        <v>613</v>
      </c>
      <c r="B24" t="s">
        <v>482</v>
      </c>
      <c r="C24" s="3">
        <v>1500</v>
      </c>
      <c r="G24" s="3" t="s">
        <v>488</v>
      </c>
    </row>
    <row r="25" spans="1:11" x14ac:dyDescent="0.25">
      <c r="B25" t="s">
        <v>614</v>
      </c>
      <c r="G25" s="3">
        <v>3000</v>
      </c>
    </row>
    <row r="26" spans="1:11" x14ac:dyDescent="0.25">
      <c r="G26" s="3"/>
    </row>
    <row r="27" spans="1:11" x14ac:dyDescent="0.25">
      <c r="A27" s="6" t="s">
        <v>220</v>
      </c>
      <c r="B27" s="6" t="s">
        <v>380</v>
      </c>
      <c r="G27" s="3"/>
    </row>
    <row r="28" spans="1:11" x14ac:dyDescent="0.25">
      <c r="G28" s="3" t="s">
        <v>369</v>
      </c>
    </row>
    <row r="29" spans="1:11" x14ac:dyDescent="0.25">
      <c r="A29" t="s">
        <v>607</v>
      </c>
      <c r="B29" t="s">
        <v>615</v>
      </c>
      <c r="C29" s="3">
        <v>1000</v>
      </c>
      <c r="D29" t="s">
        <v>616</v>
      </c>
      <c r="E29" t="s">
        <v>617</v>
      </c>
      <c r="G29" s="3">
        <v>2000</v>
      </c>
      <c r="H29" t="s">
        <v>217</v>
      </c>
    </row>
    <row r="30" spans="1:11" x14ac:dyDescent="0.25">
      <c r="A30" t="s">
        <v>609</v>
      </c>
      <c r="B30" t="s">
        <v>618</v>
      </c>
      <c r="C30" s="3">
        <v>4000</v>
      </c>
      <c r="D30" t="s">
        <v>619</v>
      </c>
      <c r="E30" t="s">
        <v>620</v>
      </c>
      <c r="G30" s="3"/>
      <c r="K30" s="6" t="s">
        <v>370</v>
      </c>
    </row>
    <row r="31" spans="1:11" x14ac:dyDescent="0.25">
      <c r="A31" t="s">
        <v>611</v>
      </c>
      <c r="B31" t="s">
        <v>621</v>
      </c>
      <c r="C31" s="3">
        <v>3000</v>
      </c>
      <c r="D31" t="s">
        <v>622</v>
      </c>
      <c r="E31" t="s">
        <v>623</v>
      </c>
      <c r="G31" s="3"/>
      <c r="J31" s="25" t="s">
        <v>218</v>
      </c>
    </row>
    <row r="32" spans="1:11" x14ac:dyDescent="0.25">
      <c r="A32" t="s">
        <v>613</v>
      </c>
      <c r="B32" t="s">
        <v>439</v>
      </c>
      <c r="C32" s="3">
        <v>1500</v>
      </c>
      <c r="E32" t="s">
        <v>624</v>
      </c>
      <c r="G32" s="3"/>
    </row>
    <row r="33" spans="1:17" x14ac:dyDescent="0.25">
      <c r="G33" s="3">
        <v>1000</v>
      </c>
      <c r="K33" t="s">
        <v>219</v>
      </c>
    </row>
    <row r="34" spans="1:17" x14ac:dyDescent="0.25">
      <c r="G34" s="3"/>
    </row>
    <row r="35" spans="1:17" x14ac:dyDescent="0.25">
      <c r="G35" s="3"/>
    </row>
    <row r="36" spans="1:17" x14ac:dyDescent="0.25">
      <c r="A36" s="13" t="s">
        <v>507</v>
      </c>
      <c r="B36" s="13" t="s">
        <v>508</v>
      </c>
      <c r="G36" s="3"/>
    </row>
    <row r="37" spans="1:17" x14ac:dyDescent="0.25">
      <c r="A37" s="69" t="s">
        <v>509</v>
      </c>
      <c r="B37" s="69" t="s">
        <v>389</v>
      </c>
      <c r="G37" s="76" t="s">
        <v>625</v>
      </c>
      <c r="K37" t="s">
        <v>505</v>
      </c>
    </row>
    <row r="38" spans="1:17" x14ac:dyDescent="0.25">
      <c r="D38" s="60" t="s">
        <v>597</v>
      </c>
      <c r="E38" s="13" t="s">
        <v>510</v>
      </c>
      <c r="I38">
        <v>1000</v>
      </c>
      <c r="K38">
        <v>2000</v>
      </c>
      <c r="M38">
        <v>3000</v>
      </c>
      <c r="O38">
        <v>4000</v>
      </c>
      <c r="P38" s="25" t="s">
        <v>304</v>
      </c>
    </row>
    <row r="39" spans="1:17" x14ac:dyDescent="0.25">
      <c r="B39" s="25" t="s">
        <v>217</v>
      </c>
      <c r="C39" t="s">
        <v>616</v>
      </c>
      <c r="D39" t="s">
        <v>626</v>
      </c>
      <c r="E39" s="3">
        <f>2000*100</f>
        <v>200000</v>
      </c>
      <c r="F39" s="3"/>
      <c r="J39" s="11" t="s">
        <v>506</v>
      </c>
      <c r="L39" t="s">
        <v>363</v>
      </c>
      <c r="N39" s="25" t="s">
        <v>488</v>
      </c>
      <c r="Q39" t="s">
        <v>369</v>
      </c>
    </row>
    <row r="40" spans="1:17" x14ac:dyDescent="0.25">
      <c r="B40" s="70" t="s">
        <v>218</v>
      </c>
      <c r="C40" s="71" t="s">
        <v>627</v>
      </c>
      <c r="D40" s="71" t="s">
        <v>628</v>
      </c>
      <c r="E40" s="72">
        <f>(300*1333)+(100*1333)</f>
        <v>533200</v>
      </c>
      <c r="F40" s="72"/>
    </row>
    <row r="41" spans="1:17" x14ac:dyDescent="0.25">
      <c r="B41" s="40" t="s">
        <v>219</v>
      </c>
      <c r="C41" s="52" t="s">
        <v>629</v>
      </c>
      <c r="D41" s="52" t="s">
        <v>630</v>
      </c>
      <c r="E41" s="58">
        <f>(300*1500)+(100*1000)</f>
        <v>550000</v>
      </c>
      <c r="F41" s="58" t="s">
        <v>586</v>
      </c>
    </row>
    <row r="42" spans="1:17" x14ac:dyDescent="0.25">
      <c r="B42" s="25" t="s">
        <v>505</v>
      </c>
      <c r="C42" t="s">
        <v>631</v>
      </c>
      <c r="D42" s="71" t="s">
        <v>632</v>
      </c>
      <c r="E42" s="3">
        <f>300*1500</f>
        <v>450000</v>
      </c>
      <c r="F42" s="3"/>
    </row>
    <row r="44" spans="1:17" x14ac:dyDescent="0.25">
      <c r="B44" s="78" t="s">
        <v>633</v>
      </c>
      <c r="C44" s="77" t="s">
        <v>634</v>
      </c>
    </row>
    <row r="45" spans="1:17" x14ac:dyDescent="0.25">
      <c r="B45" s="25" t="s">
        <v>635</v>
      </c>
      <c r="C45" s="3">
        <v>1500</v>
      </c>
    </row>
    <row r="46" spans="1:17" x14ac:dyDescent="0.25">
      <c r="B46" s="25" t="s">
        <v>636</v>
      </c>
      <c r="C46" s="3">
        <v>1000</v>
      </c>
    </row>
    <row r="47" spans="1:17" x14ac:dyDescent="0.25">
      <c r="C47" s="3"/>
    </row>
    <row r="48" spans="1:17" x14ac:dyDescent="0.25">
      <c r="A48" s="61" t="s">
        <v>427</v>
      </c>
    </row>
    <row r="49" spans="1:3" x14ac:dyDescent="0.25">
      <c r="A49" t="s">
        <v>637</v>
      </c>
    </row>
    <row r="51" spans="1:3" x14ac:dyDescent="0.25">
      <c r="A51" s="67" t="s">
        <v>638</v>
      </c>
    </row>
    <row r="53" spans="1:3" x14ac:dyDescent="0.25">
      <c r="A53" t="s">
        <v>639</v>
      </c>
      <c r="B53" t="s">
        <v>640</v>
      </c>
      <c r="C53" s="3"/>
    </row>
    <row r="54" spans="1:3" x14ac:dyDescent="0.25">
      <c r="A54" t="s">
        <v>641</v>
      </c>
    </row>
    <row r="55" spans="1:3" x14ac:dyDescent="0.25">
      <c r="A55" t="s">
        <v>639</v>
      </c>
      <c r="B55" t="s">
        <v>642</v>
      </c>
    </row>
    <row r="56" spans="1:3" x14ac:dyDescent="0.25">
      <c r="A56" t="s">
        <v>613</v>
      </c>
      <c r="B56" t="s">
        <v>643</v>
      </c>
      <c r="C56" s="3"/>
    </row>
    <row r="57" spans="1:3" x14ac:dyDescent="0.25">
      <c r="C57" s="3"/>
    </row>
    <row r="58" spans="1:3" x14ac:dyDescent="0.25">
      <c r="B58" t="s">
        <v>642</v>
      </c>
    </row>
    <row r="59" spans="1:3" x14ac:dyDescent="0.25">
      <c r="B59" t="s">
        <v>644</v>
      </c>
      <c r="C59" s="3"/>
    </row>
    <row r="60" spans="1:3" x14ac:dyDescent="0.25">
      <c r="B60" t="s">
        <v>645</v>
      </c>
    </row>
    <row r="61" spans="1:3" x14ac:dyDescent="0.25">
      <c r="B61" t="s">
        <v>646</v>
      </c>
    </row>
    <row r="63" spans="1:3" x14ac:dyDescent="0.25">
      <c r="A63" t="s">
        <v>647</v>
      </c>
    </row>
    <row r="64" spans="1:3" x14ac:dyDescent="0.25">
      <c r="B64" s="60" t="s">
        <v>648</v>
      </c>
      <c r="C64" s="60" t="s">
        <v>400</v>
      </c>
    </row>
    <row r="65" spans="1:5" ht="15.75" thickBot="1" x14ac:dyDescent="0.3">
      <c r="B65" t="s">
        <v>649</v>
      </c>
      <c r="D65" s="66">
        <f>(300*1500)+(100*1001)</f>
        <v>550100</v>
      </c>
    </row>
    <row r="66" spans="1:5" ht="15.75" thickTop="1" x14ac:dyDescent="0.25">
      <c r="A66" t="s">
        <v>442</v>
      </c>
      <c r="D66" s="7">
        <f>+E41</f>
        <v>550000</v>
      </c>
    </row>
    <row r="67" spans="1:5" ht="15.75" thickBot="1" x14ac:dyDescent="0.3">
      <c r="A67" s="52" t="s">
        <v>443</v>
      </c>
      <c r="B67" s="52"/>
      <c r="C67" s="52"/>
      <c r="D67" s="53">
        <f>D65-D66</f>
        <v>100</v>
      </c>
      <c r="E67" t="s">
        <v>650</v>
      </c>
    </row>
    <row r="68" spans="1:5" ht="15.75" thickTop="1" x14ac:dyDescent="0.25"/>
    <row r="69" spans="1:5" x14ac:dyDescent="0.25">
      <c r="A69" s="67" t="s">
        <v>651</v>
      </c>
    </row>
    <row r="72" spans="1:5" x14ac:dyDescent="0.25">
      <c r="A72" t="s">
        <v>652</v>
      </c>
    </row>
    <row r="73" spans="1:5" x14ac:dyDescent="0.25">
      <c r="A73" t="s">
        <v>613</v>
      </c>
      <c r="B73" t="s">
        <v>653</v>
      </c>
    </row>
    <row r="74" spans="1:5" x14ac:dyDescent="0.25">
      <c r="A74" t="s">
        <v>639</v>
      </c>
      <c r="B74" t="s">
        <v>640</v>
      </c>
      <c r="C74" s="3"/>
    </row>
    <row r="75" spans="1:5" x14ac:dyDescent="0.25">
      <c r="C75" s="3"/>
    </row>
    <row r="76" spans="1:5" x14ac:dyDescent="0.25">
      <c r="B76" t="s">
        <v>654</v>
      </c>
    </row>
    <row r="77" spans="1:5" x14ac:dyDescent="0.25">
      <c r="B77" t="s">
        <v>655</v>
      </c>
      <c r="C77" s="3"/>
    </row>
    <row r="78" spans="1:5" x14ac:dyDescent="0.25">
      <c r="B78" t="s">
        <v>656</v>
      </c>
    </row>
    <row r="79" spans="1:5" x14ac:dyDescent="0.25">
      <c r="B79" t="s">
        <v>657</v>
      </c>
    </row>
    <row r="81" spans="1:5" x14ac:dyDescent="0.25">
      <c r="A81" t="s">
        <v>658</v>
      </c>
    </row>
    <row r="82" spans="1:5" x14ac:dyDescent="0.25">
      <c r="B82" s="60" t="s">
        <v>648</v>
      </c>
      <c r="C82" s="60" t="s">
        <v>400</v>
      </c>
    </row>
    <row r="83" spans="1:5" ht="15.75" thickBot="1" x14ac:dyDescent="0.3">
      <c r="B83" t="s">
        <v>659</v>
      </c>
      <c r="D83" s="66">
        <f>(300*1501)+(100*998)</f>
        <v>550100</v>
      </c>
    </row>
    <row r="84" spans="1:5" ht="15.75" thickTop="1" x14ac:dyDescent="0.25">
      <c r="A84" t="s">
        <v>442</v>
      </c>
      <c r="D84" s="7">
        <f>+E41</f>
        <v>550000</v>
      </c>
    </row>
    <row r="85" spans="1:5" ht="15.75" thickBot="1" x14ac:dyDescent="0.3">
      <c r="A85" s="52" t="s">
        <v>443</v>
      </c>
      <c r="B85" s="52"/>
      <c r="C85" s="52"/>
      <c r="D85" s="53">
        <f>D83-D84</f>
        <v>100</v>
      </c>
      <c r="E85" t="s">
        <v>660</v>
      </c>
    </row>
    <row r="86" spans="1:5" ht="15.75" thickTop="1" x14ac:dyDescent="0.25"/>
    <row r="88" spans="1:5" x14ac:dyDescent="0.25">
      <c r="A88" t="s">
        <v>661</v>
      </c>
    </row>
    <row r="90" spans="1:5" x14ac:dyDescent="0.25">
      <c r="A90" t="s">
        <v>662</v>
      </c>
      <c r="B90" t="s">
        <v>615</v>
      </c>
      <c r="C90" s="3">
        <v>1000</v>
      </c>
    </row>
    <row r="91" spans="1:5" x14ac:dyDescent="0.25">
      <c r="A91" t="s">
        <v>663</v>
      </c>
      <c r="B91" t="s">
        <v>621</v>
      </c>
      <c r="C91" s="3">
        <v>3000</v>
      </c>
    </row>
    <row r="93" spans="1:5" x14ac:dyDescent="0.25">
      <c r="A93" t="s">
        <v>662</v>
      </c>
      <c r="B93" t="s">
        <v>664</v>
      </c>
      <c r="C93" s="3">
        <v>1000</v>
      </c>
    </row>
    <row r="94" spans="1:5" x14ac:dyDescent="0.25">
      <c r="B94" t="s">
        <v>665</v>
      </c>
      <c r="C94" s="3">
        <v>1000</v>
      </c>
    </row>
    <row r="95" spans="1:5" x14ac:dyDescent="0.25">
      <c r="B95">
        <v>875</v>
      </c>
      <c r="C95" s="3">
        <v>1000</v>
      </c>
    </row>
    <row r="96" spans="1:5" ht="15.75" thickBot="1" x14ac:dyDescent="0.3">
      <c r="A96" s="52" t="s">
        <v>666</v>
      </c>
      <c r="B96" s="52"/>
      <c r="C96" s="79">
        <v>125</v>
      </c>
    </row>
    <row r="97" spans="1:3" ht="15.75" thickTop="1" x14ac:dyDescent="0.25"/>
    <row r="99" spans="1:3" x14ac:dyDescent="0.25">
      <c r="A99" t="s">
        <v>663</v>
      </c>
      <c r="B99" t="s">
        <v>621</v>
      </c>
      <c r="C99" s="3">
        <v>3000</v>
      </c>
    </row>
    <row r="100" spans="1:3" x14ac:dyDescent="0.25">
      <c r="B100" t="s">
        <v>667</v>
      </c>
      <c r="C100" s="3">
        <v>3000</v>
      </c>
    </row>
    <row r="101" spans="1:3" x14ac:dyDescent="0.25">
      <c r="B101" s="38">
        <v>2500</v>
      </c>
      <c r="C101" s="3">
        <v>3000</v>
      </c>
    </row>
    <row r="102" spans="1:3" ht="15.75" thickBot="1" x14ac:dyDescent="0.3">
      <c r="A102" s="52" t="s">
        <v>668</v>
      </c>
      <c r="B102" s="52"/>
      <c r="C102" s="79">
        <v>500</v>
      </c>
    </row>
    <row r="103" spans="1:3" ht="15.75" thickTop="1" x14ac:dyDescent="0.25"/>
  </sheetData>
  <phoneticPr fontId="17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48"/>
  <sheetViews>
    <sheetView workbookViewId="0">
      <selection activeCell="H22" sqref="H22"/>
    </sheetView>
  </sheetViews>
  <sheetFormatPr defaultRowHeight="15" x14ac:dyDescent="0.25"/>
  <cols>
    <col min="1" max="1" width="14.85546875" customWidth="1"/>
    <col min="2" max="2" width="11.42578125" customWidth="1"/>
    <col min="3" max="3" width="16" customWidth="1"/>
    <col min="4" max="4" width="13.140625" customWidth="1"/>
    <col min="5" max="5" width="10.28515625" customWidth="1"/>
    <col min="6" max="6" width="10" customWidth="1"/>
    <col min="8" max="8" width="10.85546875" customWidth="1"/>
    <col min="9" max="9" width="12.5703125" customWidth="1"/>
  </cols>
  <sheetData>
    <row r="3" spans="1:6" x14ac:dyDescent="0.25">
      <c r="A3" s="6" t="s">
        <v>354</v>
      </c>
      <c r="B3" t="s">
        <v>669</v>
      </c>
    </row>
    <row r="5" spans="1:6" x14ac:dyDescent="0.25">
      <c r="B5" t="s">
        <v>361</v>
      </c>
      <c r="C5" s="5" t="s">
        <v>12</v>
      </c>
      <c r="D5" t="s">
        <v>670</v>
      </c>
    </row>
    <row r="8" spans="1:6" x14ac:dyDescent="0.25">
      <c r="D8" s="59" t="s">
        <v>598</v>
      </c>
      <c r="E8" s="59"/>
      <c r="F8" s="59" t="s">
        <v>599</v>
      </c>
    </row>
    <row r="9" spans="1:6" x14ac:dyDescent="0.25">
      <c r="B9" t="s">
        <v>671</v>
      </c>
      <c r="D9" s="3">
        <v>1200</v>
      </c>
      <c r="E9" s="3"/>
      <c r="F9" s="3">
        <v>1000</v>
      </c>
    </row>
    <row r="10" spans="1:6" x14ac:dyDescent="0.25">
      <c r="B10" t="s">
        <v>672</v>
      </c>
    </row>
    <row r="11" spans="1:6" x14ac:dyDescent="0.25">
      <c r="B11" t="s">
        <v>673</v>
      </c>
      <c r="D11" s="3">
        <v>-250</v>
      </c>
      <c r="E11" s="3"/>
      <c r="F11" s="3">
        <v>-500</v>
      </c>
    </row>
    <row r="12" spans="1:6" x14ac:dyDescent="0.25">
      <c r="B12" t="s">
        <v>674</v>
      </c>
      <c r="D12" s="3">
        <v>-500</v>
      </c>
      <c r="F12" s="3">
        <v>-250</v>
      </c>
    </row>
    <row r="13" spans="1:6" x14ac:dyDescent="0.25">
      <c r="B13" t="s">
        <v>675</v>
      </c>
      <c r="D13" s="3">
        <v>-150</v>
      </c>
      <c r="F13" s="3">
        <v>-150</v>
      </c>
    </row>
    <row r="14" spans="1:6" ht="15.75" thickBot="1" x14ac:dyDescent="0.3">
      <c r="B14" s="6" t="s">
        <v>192</v>
      </c>
      <c r="C14" s="6"/>
      <c r="D14" s="51">
        <f>SUM(D9:D13)</f>
        <v>300</v>
      </c>
      <c r="E14" s="6"/>
      <c r="F14" s="51">
        <f>SUM(F9:F13)</f>
        <v>100</v>
      </c>
    </row>
    <row r="15" spans="1:6" ht="15.75" thickTop="1" x14ac:dyDescent="0.25"/>
    <row r="16" spans="1:6" x14ac:dyDescent="0.25">
      <c r="A16" s="6" t="s">
        <v>358</v>
      </c>
      <c r="B16" s="6" t="s">
        <v>676</v>
      </c>
    </row>
    <row r="17" spans="1:10" x14ac:dyDescent="0.25">
      <c r="A17" s="6"/>
      <c r="B17" s="6"/>
    </row>
    <row r="18" spans="1:10" x14ac:dyDescent="0.25">
      <c r="A18" t="s">
        <v>677</v>
      </c>
      <c r="B18" s="6" t="s">
        <v>678</v>
      </c>
      <c r="C18" t="s">
        <v>111</v>
      </c>
      <c r="D18" t="s">
        <v>679</v>
      </c>
      <c r="F18" t="s">
        <v>680</v>
      </c>
    </row>
    <row r="19" spans="1:10" x14ac:dyDescent="0.25">
      <c r="A19" t="s">
        <v>681</v>
      </c>
      <c r="B19" s="6" t="s">
        <v>682</v>
      </c>
      <c r="C19" t="s">
        <v>683</v>
      </c>
      <c r="D19" t="s">
        <v>684</v>
      </c>
    </row>
    <row r="20" spans="1:10" x14ac:dyDescent="0.25">
      <c r="A20" t="s">
        <v>685</v>
      </c>
      <c r="B20" s="6" t="s">
        <v>686</v>
      </c>
      <c r="C20" t="s">
        <v>687</v>
      </c>
      <c r="D20" t="s">
        <v>688</v>
      </c>
    </row>
    <row r="21" spans="1:10" x14ac:dyDescent="0.25">
      <c r="A21" t="s">
        <v>689</v>
      </c>
      <c r="B21" s="6" t="s">
        <v>690</v>
      </c>
      <c r="C21" t="s">
        <v>301</v>
      </c>
      <c r="D21" t="s">
        <v>691</v>
      </c>
    </row>
    <row r="22" spans="1:10" x14ac:dyDescent="0.25">
      <c r="E22" s="10"/>
    </row>
    <row r="24" spans="1:10" x14ac:dyDescent="0.25">
      <c r="A24" s="6" t="s">
        <v>371</v>
      </c>
      <c r="B24" s="6" t="s">
        <v>692</v>
      </c>
    </row>
    <row r="25" spans="1:10" ht="15.75" thickBot="1" x14ac:dyDescent="0.3"/>
    <row r="26" spans="1:10" ht="30" x14ac:dyDescent="0.25">
      <c r="A26" s="80" t="s">
        <v>693</v>
      </c>
      <c r="B26" s="81" t="s">
        <v>694</v>
      </c>
      <c r="C26" s="82" t="s">
        <v>304</v>
      </c>
      <c r="D26" s="82" t="s">
        <v>306</v>
      </c>
      <c r="E26" s="82" t="s">
        <v>678</v>
      </c>
      <c r="F26" s="82" t="s">
        <v>682</v>
      </c>
      <c r="G26" s="82" t="s">
        <v>686</v>
      </c>
      <c r="H26" s="82" t="s">
        <v>690</v>
      </c>
      <c r="I26" s="83" t="s">
        <v>695</v>
      </c>
    </row>
    <row r="27" spans="1:10" x14ac:dyDescent="0.25">
      <c r="A27" s="84">
        <v>1</v>
      </c>
      <c r="B27" s="85" t="s">
        <v>678</v>
      </c>
      <c r="C27" s="86">
        <v>0.25</v>
      </c>
      <c r="D27" s="86">
        <v>0.5</v>
      </c>
      <c r="E27" s="86">
        <v>1</v>
      </c>
      <c r="F27" s="86">
        <v>0</v>
      </c>
      <c r="G27" s="86">
        <v>0</v>
      </c>
      <c r="H27" s="86">
        <v>0</v>
      </c>
      <c r="I27" s="87">
        <v>1000</v>
      </c>
      <c r="J27" t="s">
        <v>111</v>
      </c>
    </row>
    <row r="28" spans="1:10" x14ac:dyDescent="0.25">
      <c r="A28" s="84">
        <v>2</v>
      </c>
      <c r="B28" s="85" t="s">
        <v>682</v>
      </c>
      <c r="C28" s="86">
        <v>2</v>
      </c>
      <c r="D28" s="86">
        <v>1</v>
      </c>
      <c r="E28" s="86">
        <v>0</v>
      </c>
      <c r="F28" s="86">
        <v>1</v>
      </c>
      <c r="G28" s="86">
        <v>0</v>
      </c>
      <c r="H28" s="86">
        <v>0</v>
      </c>
      <c r="I28" s="87">
        <v>4000</v>
      </c>
      <c r="J28" t="s">
        <v>696</v>
      </c>
    </row>
    <row r="29" spans="1:10" x14ac:dyDescent="0.25">
      <c r="A29" s="84">
        <v>3</v>
      </c>
      <c r="B29" s="85" t="s">
        <v>686</v>
      </c>
      <c r="C29" s="86">
        <v>1</v>
      </c>
      <c r="D29" s="86">
        <v>1</v>
      </c>
      <c r="E29" s="86">
        <v>0</v>
      </c>
      <c r="F29" s="86">
        <v>0</v>
      </c>
      <c r="G29" s="86">
        <v>1</v>
      </c>
      <c r="H29" s="86">
        <v>0</v>
      </c>
      <c r="I29" s="87">
        <v>3000</v>
      </c>
      <c r="J29" t="s">
        <v>697</v>
      </c>
    </row>
    <row r="30" spans="1:10" x14ac:dyDescent="0.25">
      <c r="A30" s="84">
        <v>4</v>
      </c>
      <c r="B30" s="85" t="s">
        <v>690</v>
      </c>
      <c r="C30" s="86">
        <v>1</v>
      </c>
      <c r="D30" s="86">
        <v>0</v>
      </c>
      <c r="E30" s="86">
        <v>0</v>
      </c>
      <c r="F30" s="86">
        <v>0</v>
      </c>
      <c r="G30" s="86">
        <v>0</v>
      </c>
      <c r="H30" s="86">
        <v>1</v>
      </c>
      <c r="I30" s="87">
        <v>1500</v>
      </c>
      <c r="J30" t="s">
        <v>301</v>
      </c>
    </row>
    <row r="31" spans="1:10" ht="15.75" thickBot="1" x14ac:dyDescent="0.3">
      <c r="A31" s="88">
        <v>5</v>
      </c>
      <c r="B31" s="89" t="s">
        <v>698</v>
      </c>
      <c r="C31" s="90">
        <v>300</v>
      </c>
      <c r="D31" s="90">
        <v>100</v>
      </c>
      <c r="E31" s="90">
        <v>0</v>
      </c>
      <c r="F31" s="90">
        <v>0</v>
      </c>
      <c r="G31" s="90">
        <v>0</v>
      </c>
      <c r="H31" s="90">
        <v>0</v>
      </c>
      <c r="I31" s="91">
        <v>0</v>
      </c>
    </row>
    <row r="33" spans="1:10" x14ac:dyDescent="0.25">
      <c r="A33" s="10" t="s">
        <v>699</v>
      </c>
    </row>
    <row r="34" spans="1:10" x14ac:dyDescent="0.25">
      <c r="A34" s="10" t="s">
        <v>700</v>
      </c>
    </row>
    <row r="36" spans="1:10" ht="15.75" thickBot="1" x14ac:dyDescent="0.3">
      <c r="A36" s="6" t="s">
        <v>701</v>
      </c>
    </row>
    <row r="37" spans="1:10" ht="30.75" thickBot="1" x14ac:dyDescent="0.3">
      <c r="A37" s="92" t="s">
        <v>693</v>
      </c>
      <c r="B37" s="93" t="s">
        <v>694</v>
      </c>
      <c r="C37" s="94" t="s">
        <v>304</v>
      </c>
      <c r="D37" s="94" t="s">
        <v>306</v>
      </c>
      <c r="E37" s="94" t="s">
        <v>678</v>
      </c>
      <c r="F37" s="94" t="s">
        <v>682</v>
      </c>
      <c r="G37" s="94" t="s">
        <v>686</v>
      </c>
      <c r="H37" s="94" t="s">
        <v>690</v>
      </c>
      <c r="I37" s="93" t="s">
        <v>702</v>
      </c>
      <c r="J37" s="95"/>
    </row>
    <row r="38" spans="1:10" ht="15.75" thickBot="1" x14ac:dyDescent="0.3">
      <c r="A38" s="96">
        <v>1</v>
      </c>
      <c r="B38" s="97" t="s">
        <v>678</v>
      </c>
      <c r="C38" s="98">
        <v>0.25</v>
      </c>
      <c r="D38" s="98">
        <v>0.5</v>
      </c>
      <c r="E38" s="98">
        <v>1</v>
      </c>
      <c r="F38" s="98">
        <v>0</v>
      </c>
      <c r="G38" s="98">
        <v>0</v>
      </c>
      <c r="H38" s="98">
        <v>0</v>
      </c>
      <c r="I38" s="99">
        <v>1000</v>
      </c>
      <c r="J38" s="100"/>
    </row>
    <row r="39" spans="1:10" ht="15.75" thickBot="1" x14ac:dyDescent="0.3">
      <c r="A39" s="96">
        <v>2</v>
      </c>
      <c r="B39" s="97" t="s">
        <v>682</v>
      </c>
      <c r="C39" s="98">
        <v>2</v>
      </c>
      <c r="D39" s="98">
        <v>1</v>
      </c>
      <c r="E39" s="98">
        <v>0</v>
      </c>
      <c r="F39" s="98">
        <v>1</v>
      </c>
      <c r="G39" s="98">
        <v>0</v>
      </c>
      <c r="H39" s="98">
        <v>0</v>
      </c>
      <c r="I39" s="99">
        <v>4000</v>
      </c>
      <c r="J39" s="100"/>
    </row>
    <row r="40" spans="1:10" ht="15.75" thickBot="1" x14ac:dyDescent="0.3">
      <c r="A40" s="96">
        <v>3</v>
      </c>
      <c r="B40" s="97" t="s">
        <v>686</v>
      </c>
      <c r="C40" s="98">
        <v>1</v>
      </c>
      <c r="D40" s="98">
        <v>1</v>
      </c>
      <c r="E40" s="98">
        <v>0</v>
      </c>
      <c r="F40" s="98">
        <v>0</v>
      </c>
      <c r="G40" s="98">
        <v>1</v>
      </c>
      <c r="H40" s="98">
        <v>0</v>
      </c>
      <c r="I40" s="99">
        <v>3000</v>
      </c>
      <c r="J40" s="100"/>
    </row>
    <row r="41" spans="1:10" ht="15.75" thickBot="1" x14ac:dyDescent="0.3">
      <c r="A41" s="96">
        <v>4</v>
      </c>
      <c r="B41" s="97" t="s">
        <v>690</v>
      </c>
      <c r="C41" s="101">
        <v>1</v>
      </c>
      <c r="D41" s="98">
        <v>0</v>
      </c>
      <c r="E41" s="98">
        <v>0</v>
      </c>
      <c r="F41" s="98">
        <v>0</v>
      </c>
      <c r="G41" s="98">
        <v>0</v>
      </c>
      <c r="H41" s="98">
        <v>1</v>
      </c>
      <c r="I41" s="99">
        <v>1500</v>
      </c>
      <c r="J41" s="100"/>
    </row>
    <row r="42" spans="1:10" ht="15.75" thickBot="1" x14ac:dyDescent="0.3">
      <c r="A42" s="96">
        <v>5</v>
      </c>
      <c r="B42" s="97" t="s">
        <v>698</v>
      </c>
      <c r="C42" s="98">
        <v>300</v>
      </c>
      <c r="D42" s="98">
        <v>100</v>
      </c>
      <c r="E42" s="98">
        <v>0</v>
      </c>
      <c r="F42" s="98">
        <v>0</v>
      </c>
      <c r="G42" s="98">
        <v>0</v>
      </c>
      <c r="H42" s="98">
        <v>0</v>
      </c>
      <c r="I42" s="98" t="s">
        <v>703</v>
      </c>
      <c r="J42" s="100"/>
    </row>
    <row r="43" spans="1:10" ht="15.75" thickBot="1" x14ac:dyDescent="0.3">
      <c r="A43" s="102"/>
      <c r="B43" s="100"/>
      <c r="C43" s="100"/>
      <c r="D43" s="100"/>
      <c r="E43" s="100"/>
      <c r="F43" s="100"/>
      <c r="G43" s="100"/>
      <c r="H43" s="100"/>
      <c r="I43" s="100"/>
      <c r="J43" s="100"/>
    </row>
    <row r="44" spans="1:10" ht="15.75" thickBot="1" x14ac:dyDescent="0.3">
      <c r="A44" s="180" t="s">
        <v>704</v>
      </c>
      <c r="B44" s="181"/>
      <c r="C44" s="181"/>
      <c r="D44" s="181"/>
      <c r="E44" s="181"/>
      <c r="F44" s="182"/>
      <c r="G44" s="100"/>
      <c r="H44" s="100"/>
      <c r="I44" s="100"/>
      <c r="J44" s="100"/>
    </row>
    <row r="45" spans="1:10" ht="15.75" thickBot="1" x14ac:dyDescent="0.3">
      <c r="A45" s="180" t="s">
        <v>705</v>
      </c>
      <c r="B45" s="181"/>
      <c r="C45" s="182"/>
      <c r="D45" s="100"/>
      <c r="E45" s="100"/>
      <c r="F45" s="100"/>
      <c r="G45" s="100"/>
      <c r="H45" s="100"/>
      <c r="I45" s="100"/>
      <c r="J45" s="100"/>
    </row>
    <row r="46" spans="1:10" ht="15.75" thickBot="1" x14ac:dyDescent="0.3">
      <c r="A46" s="103" t="s">
        <v>706</v>
      </c>
      <c r="B46" s="97" t="s">
        <v>12</v>
      </c>
      <c r="C46" s="99">
        <v>4000</v>
      </c>
      <c r="D46" s="100"/>
      <c r="E46" s="100"/>
      <c r="F46" s="100"/>
      <c r="G46" s="100"/>
      <c r="H46" s="100"/>
      <c r="I46" s="100"/>
      <c r="J46" s="100"/>
    </row>
    <row r="47" spans="1:10" ht="15.75" thickBot="1" x14ac:dyDescent="0.3">
      <c r="A47" s="103" t="s">
        <v>707</v>
      </c>
      <c r="B47" s="97" t="s">
        <v>12</v>
      </c>
      <c r="C47" s="99">
        <v>2000</v>
      </c>
      <c r="D47" s="97" t="s">
        <v>708</v>
      </c>
      <c r="E47" s="100"/>
      <c r="F47" s="100"/>
      <c r="G47" s="100"/>
      <c r="H47" s="100"/>
      <c r="I47" s="100"/>
      <c r="J47" s="100"/>
    </row>
    <row r="48" spans="1:10" ht="15.75" thickBot="1" x14ac:dyDescent="0.3">
      <c r="A48" s="103" t="s">
        <v>709</v>
      </c>
      <c r="B48" s="97" t="s">
        <v>12</v>
      </c>
      <c r="C48" s="99">
        <v>3000</v>
      </c>
      <c r="D48" s="100"/>
      <c r="E48" s="100"/>
      <c r="F48" s="100"/>
      <c r="G48" s="100"/>
      <c r="H48" s="100"/>
      <c r="I48" s="100"/>
      <c r="J48" s="100"/>
    </row>
    <row r="49" spans="1:10" ht="15.75" thickBot="1" x14ac:dyDescent="0.3">
      <c r="A49" s="103" t="s">
        <v>710</v>
      </c>
      <c r="B49" s="97" t="s">
        <v>12</v>
      </c>
      <c r="C49" s="104">
        <v>1500</v>
      </c>
      <c r="D49" s="100"/>
      <c r="E49" s="100"/>
      <c r="F49" s="100"/>
      <c r="G49" s="100"/>
      <c r="H49" s="100"/>
      <c r="I49" s="100"/>
      <c r="J49" s="100"/>
    </row>
    <row r="50" spans="1:10" ht="15.75" thickBot="1" x14ac:dyDescent="0.3">
      <c r="A50" s="102"/>
      <c r="B50" s="100"/>
      <c r="C50" s="100"/>
      <c r="D50" s="100"/>
      <c r="E50" s="100"/>
      <c r="F50" s="100"/>
      <c r="G50" s="100"/>
      <c r="H50" s="100"/>
      <c r="I50" s="100"/>
      <c r="J50" s="100"/>
    </row>
    <row r="51" spans="1:10" ht="15.75" thickBot="1" x14ac:dyDescent="0.3">
      <c r="A51" s="180" t="s">
        <v>711</v>
      </c>
      <c r="B51" s="181"/>
      <c r="C51" s="181"/>
      <c r="D51" s="181"/>
      <c r="E51" s="181"/>
      <c r="F51" s="182"/>
      <c r="G51" s="100"/>
      <c r="H51" s="100"/>
      <c r="I51" s="100"/>
      <c r="J51" s="100"/>
    </row>
    <row r="52" spans="1:10" ht="15.75" thickBot="1" x14ac:dyDescent="0.3">
      <c r="A52" s="180" t="s">
        <v>712</v>
      </c>
      <c r="B52" s="181"/>
      <c r="C52" s="181"/>
      <c r="D52" s="181"/>
      <c r="E52" s="181"/>
      <c r="F52" s="182"/>
      <c r="G52" s="100"/>
      <c r="H52" s="100"/>
      <c r="I52" s="100"/>
      <c r="J52" s="100"/>
    </row>
    <row r="53" spans="1:10" ht="15.75" thickBot="1" x14ac:dyDescent="0.3">
      <c r="A53" s="102"/>
      <c r="B53" s="100"/>
      <c r="C53" s="100"/>
      <c r="D53" s="100"/>
      <c r="E53" s="100"/>
      <c r="F53" s="100"/>
      <c r="G53" s="100"/>
      <c r="H53" s="100"/>
      <c r="I53" s="100"/>
      <c r="J53" s="100"/>
    </row>
    <row r="54" spans="1:10" ht="15.75" thickBot="1" x14ac:dyDescent="0.3">
      <c r="A54" s="96">
        <v>4</v>
      </c>
      <c r="B54" s="97" t="s">
        <v>690</v>
      </c>
      <c r="C54" s="105">
        <v>1</v>
      </c>
      <c r="D54" s="98">
        <v>0</v>
      </c>
      <c r="E54" s="98">
        <v>0</v>
      </c>
      <c r="F54" s="98">
        <v>0</v>
      </c>
      <c r="G54" s="98">
        <v>0</v>
      </c>
      <c r="H54" s="98">
        <v>1</v>
      </c>
      <c r="I54" s="99">
        <v>1500</v>
      </c>
      <c r="J54" s="100"/>
    </row>
    <row r="55" spans="1:10" ht="15.75" thickBot="1" x14ac:dyDescent="0.3">
      <c r="A55" s="106">
        <v>6</v>
      </c>
      <c r="B55" s="107" t="s">
        <v>304</v>
      </c>
      <c r="C55" s="108">
        <v>1</v>
      </c>
      <c r="D55" s="108">
        <v>0</v>
      </c>
      <c r="E55" s="108">
        <v>0</v>
      </c>
      <c r="F55" s="108">
        <v>0</v>
      </c>
      <c r="G55" s="108">
        <v>0</v>
      </c>
      <c r="H55" s="108">
        <v>1</v>
      </c>
      <c r="I55" s="109">
        <v>1500</v>
      </c>
      <c r="J55" s="108" t="s">
        <v>713</v>
      </c>
    </row>
    <row r="56" spans="1:10" ht="15.75" thickBot="1" x14ac:dyDescent="0.3">
      <c r="A56" s="102"/>
      <c r="B56" s="100"/>
      <c r="C56" s="100"/>
      <c r="D56" s="100"/>
      <c r="E56" s="100"/>
      <c r="F56" s="100"/>
      <c r="G56" s="100"/>
      <c r="H56" s="100"/>
      <c r="I56" s="100"/>
      <c r="J56" s="100"/>
    </row>
    <row r="57" spans="1:10" ht="30.75" thickBot="1" x14ac:dyDescent="0.3">
      <c r="A57" s="110" t="s">
        <v>693</v>
      </c>
      <c r="B57" s="111" t="s">
        <v>694</v>
      </c>
      <c r="C57" s="112" t="s">
        <v>304</v>
      </c>
      <c r="D57" s="112" t="s">
        <v>306</v>
      </c>
      <c r="E57" s="112" t="s">
        <v>678</v>
      </c>
      <c r="F57" s="112" t="s">
        <v>682</v>
      </c>
      <c r="G57" s="112" t="s">
        <v>686</v>
      </c>
      <c r="H57" s="112" t="s">
        <v>690</v>
      </c>
      <c r="I57" s="112" t="s">
        <v>702</v>
      </c>
      <c r="J57" s="100"/>
    </row>
    <row r="58" spans="1:10" ht="15.75" thickBot="1" x14ac:dyDescent="0.3">
      <c r="A58" s="96">
        <v>1</v>
      </c>
      <c r="B58" s="97" t="s">
        <v>678</v>
      </c>
      <c r="C58" s="98">
        <v>0.25</v>
      </c>
      <c r="D58" s="98">
        <v>0.5</v>
      </c>
      <c r="E58" s="98">
        <v>1</v>
      </c>
      <c r="F58" s="98">
        <v>0</v>
      </c>
      <c r="G58" s="98">
        <v>0</v>
      </c>
      <c r="H58" s="98">
        <v>0</v>
      </c>
      <c r="I58" s="99">
        <v>1000</v>
      </c>
      <c r="J58" s="100"/>
    </row>
    <row r="59" spans="1:10" ht="15.75" thickBot="1" x14ac:dyDescent="0.3">
      <c r="A59" s="96">
        <v>2</v>
      </c>
      <c r="B59" s="97" t="s">
        <v>682</v>
      </c>
      <c r="C59" s="98">
        <v>2</v>
      </c>
      <c r="D59" s="98">
        <v>1</v>
      </c>
      <c r="E59" s="98">
        <v>0</v>
      </c>
      <c r="F59" s="98">
        <v>1</v>
      </c>
      <c r="G59" s="98">
        <v>0</v>
      </c>
      <c r="H59" s="98">
        <v>0</v>
      </c>
      <c r="I59" s="99">
        <v>4000</v>
      </c>
      <c r="J59" s="100"/>
    </row>
    <row r="60" spans="1:10" ht="15.75" thickBot="1" x14ac:dyDescent="0.3">
      <c r="A60" s="96">
        <v>3</v>
      </c>
      <c r="B60" s="97" t="s">
        <v>686</v>
      </c>
      <c r="C60" s="98">
        <v>1</v>
      </c>
      <c r="D60" s="98">
        <v>1</v>
      </c>
      <c r="E60" s="98">
        <v>0</v>
      </c>
      <c r="F60" s="98">
        <v>0</v>
      </c>
      <c r="G60" s="98">
        <v>1</v>
      </c>
      <c r="H60" s="98">
        <v>0</v>
      </c>
      <c r="I60" s="99">
        <v>3000</v>
      </c>
      <c r="J60" s="100"/>
    </row>
    <row r="61" spans="1:10" ht="15" customHeight="1" thickBot="1" x14ac:dyDescent="0.3">
      <c r="A61" s="106">
        <v>6</v>
      </c>
      <c r="B61" s="107" t="s">
        <v>304</v>
      </c>
      <c r="C61" s="113">
        <v>1</v>
      </c>
      <c r="D61" s="108">
        <v>0</v>
      </c>
      <c r="E61" s="108">
        <v>0</v>
      </c>
      <c r="F61" s="108">
        <v>0</v>
      </c>
      <c r="G61" s="108">
        <v>0</v>
      </c>
      <c r="H61" s="108">
        <v>1</v>
      </c>
      <c r="I61" s="109">
        <v>1500</v>
      </c>
      <c r="J61" s="108" t="s">
        <v>713</v>
      </c>
    </row>
    <row r="62" spans="1:10" ht="15.75" thickBot="1" x14ac:dyDescent="0.3">
      <c r="A62" s="96">
        <v>5</v>
      </c>
      <c r="B62" s="97" t="s">
        <v>698</v>
      </c>
      <c r="C62" s="98">
        <v>300</v>
      </c>
      <c r="D62" s="98">
        <v>100</v>
      </c>
      <c r="E62" s="98">
        <v>0</v>
      </c>
      <c r="F62" s="98">
        <v>0</v>
      </c>
      <c r="G62" s="98">
        <v>0</v>
      </c>
      <c r="H62" s="98">
        <v>0</v>
      </c>
      <c r="I62" s="98" t="s">
        <v>703</v>
      </c>
      <c r="J62" s="100"/>
    </row>
    <row r="63" spans="1:10" ht="15.75" thickBot="1" x14ac:dyDescent="0.3">
      <c r="A63" s="102"/>
      <c r="B63" s="100"/>
      <c r="C63" s="100"/>
      <c r="D63" s="100"/>
      <c r="E63" s="100"/>
      <c r="F63" s="100"/>
      <c r="G63" s="100"/>
      <c r="H63" s="100"/>
      <c r="I63" s="100"/>
      <c r="J63" s="100"/>
    </row>
    <row r="64" spans="1:10" ht="15.75" thickBot="1" x14ac:dyDescent="0.3">
      <c r="A64" s="183" t="s">
        <v>714</v>
      </c>
      <c r="B64" s="184"/>
      <c r="C64" s="184"/>
      <c r="D64" s="184"/>
      <c r="E64" s="184"/>
      <c r="F64" s="185"/>
      <c r="G64" s="100"/>
      <c r="H64" s="100"/>
      <c r="I64" s="100"/>
      <c r="J64" s="100"/>
    </row>
    <row r="65" spans="1:10" ht="15.75" thickBot="1" x14ac:dyDescent="0.3">
      <c r="A65" s="103" t="s">
        <v>635</v>
      </c>
      <c r="B65" s="97" t="s">
        <v>678</v>
      </c>
      <c r="C65" s="98">
        <v>0.25</v>
      </c>
      <c r="D65" s="98">
        <v>0.5</v>
      </c>
      <c r="E65" s="98">
        <v>1</v>
      </c>
      <c r="F65" s="98">
        <v>0</v>
      </c>
      <c r="G65" s="98">
        <v>0</v>
      </c>
      <c r="H65" s="98">
        <v>0</v>
      </c>
      <c r="I65" s="99">
        <v>1000</v>
      </c>
      <c r="J65" s="100"/>
    </row>
    <row r="66" spans="1:10" ht="15.75" thickBot="1" x14ac:dyDescent="0.3">
      <c r="A66" s="114" t="s">
        <v>715</v>
      </c>
      <c r="B66" s="107" t="s">
        <v>304</v>
      </c>
      <c r="C66" s="113">
        <v>0.25</v>
      </c>
      <c r="D66" s="113">
        <v>0</v>
      </c>
      <c r="E66" s="113">
        <v>0</v>
      </c>
      <c r="F66" s="113">
        <v>0</v>
      </c>
      <c r="G66" s="113">
        <v>0</v>
      </c>
      <c r="H66" s="113">
        <v>0.25</v>
      </c>
      <c r="I66" s="113">
        <v>375</v>
      </c>
      <c r="J66" s="100"/>
    </row>
    <row r="67" spans="1:10" ht="15.75" thickBot="1" x14ac:dyDescent="0.3">
      <c r="A67" s="103" t="s">
        <v>716</v>
      </c>
      <c r="B67" s="97" t="s">
        <v>678</v>
      </c>
      <c r="C67" s="98" t="s">
        <v>703</v>
      </c>
      <c r="D67" s="115">
        <v>0.5</v>
      </c>
      <c r="E67" s="98">
        <v>1</v>
      </c>
      <c r="F67" s="98" t="s">
        <v>703</v>
      </c>
      <c r="G67" s="98" t="s">
        <v>703</v>
      </c>
      <c r="H67" s="98">
        <v>-0.25</v>
      </c>
      <c r="I67" s="98">
        <v>625</v>
      </c>
      <c r="J67" s="108" t="s">
        <v>717</v>
      </c>
    </row>
    <row r="68" spans="1:10" ht="15.75" thickBot="1" x14ac:dyDescent="0.3">
      <c r="A68" s="102"/>
      <c r="B68" s="100"/>
      <c r="C68" s="100"/>
      <c r="D68" s="100"/>
      <c r="E68" s="100"/>
      <c r="F68" s="100"/>
      <c r="G68" s="100"/>
      <c r="H68" s="100"/>
      <c r="I68" s="100"/>
      <c r="J68" s="100"/>
    </row>
    <row r="69" spans="1:10" ht="15.75" thickBot="1" x14ac:dyDescent="0.3">
      <c r="A69" s="103" t="s">
        <v>636</v>
      </c>
      <c r="B69" s="97" t="s">
        <v>682</v>
      </c>
      <c r="C69" s="98">
        <v>2</v>
      </c>
      <c r="D69" s="98">
        <v>1</v>
      </c>
      <c r="E69" s="98">
        <v>0</v>
      </c>
      <c r="F69" s="98">
        <v>1</v>
      </c>
      <c r="G69" s="98">
        <v>0</v>
      </c>
      <c r="H69" s="98">
        <v>0</v>
      </c>
      <c r="I69" s="99">
        <v>4000</v>
      </c>
      <c r="J69" s="100"/>
    </row>
    <row r="70" spans="1:10" ht="15.75" thickBot="1" x14ac:dyDescent="0.3">
      <c r="A70" s="114" t="s">
        <v>718</v>
      </c>
      <c r="B70" s="107" t="s">
        <v>304</v>
      </c>
      <c r="C70" s="113">
        <v>2</v>
      </c>
      <c r="D70" s="113" t="s">
        <v>703</v>
      </c>
      <c r="E70" s="113" t="s">
        <v>703</v>
      </c>
      <c r="F70" s="113" t="s">
        <v>703</v>
      </c>
      <c r="G70" s="113" t="s">
        <v>703</v>
      </c>
      <c r="H70" s="113">
        <v>2</v>
      </c>
      <c r="I70" s="116">
        <v>3000</v>
      </c>
      <c r="J70" s="100"/>
    </row>
    <row r="71" spans="1:10" ht="15.75" thickBot="1" x14ac:dyDescent="0.3">
      <c r="A71" s="103" t="s">
        <v>719</v>
      </c>
      <c r="B71" s="97" t="s">
        <v>682</v>
      </c>
      <c r="C71" s="98" t="s">
        <v>703</v>
      </c>
      <c r="D71" s="98">
        <v>1</v>
      </c>
      <c r="E71" s="98" t="s">
        <v>703</v>
      </c>
      <c r="F71" s="98">
        <v>1</v>
      </c>
      <c r="G71" s="98" t="s">
        <v>703</v>
      </c>
      <c r="H71" s="98">
        <v>-2</v>
      </c>
      <c r="I71" s="99">
        <v>1000</v>
      </c>
      <c r="J71" s="108" t="s">
        <v>720</v>
      </c>
    </row>
    <row r="72" spans="1:10" ht="15.75" thickBot="1" x14ac:dyDescent="0.3">
      <c r="A72" s="102"/>
      <c r="B72" s="100"/>
      <c r="C72" s="100"/>
      <c r="D72" s="100"/>
      <c r="E72" s="100"/>
      <c r="F72" s="100"/>
      <c r="G72" s="100"/>
      <c r="H72" s="100"/>
      <c r="I72" s="100"/>
      <c r="J72" s="100"/>
    </row>
    <row r="73" spans="1:10" ht="15.75" thickBot="1" x14ac:dyDescent="0.3">
      <c r="A73" s="103" t="s">
        <v>721</v>
      </c>
      <c r="B73" s="97" t="s">
        <v>686</v>
      </c>
      <c r="C73" s="98">
        <v>1</v>
      </c>
      <c r="D73" s="98">
        <v>1</v>
      </c>
      <c r="E73" s="98">
        <v>0</v>
      </c>
      <c r="F73" s="98">
        <v>0</v>
      </c>
      <c r="G73" s="98">
        <v>1</v>
      </c>
      <c r="H73" s="98">
        <v>0</v>
      </c>
      <c r="I73" s="99">
        <v>3000</v>
      </c>
      <c r="J73" s="100"/>
    </row>
    <row r="74" spans="1:10" ht="15.75" thickBot="1" x14ac:dyDescent="0.3">
      <c r="A74" s="106">
        <v>6</v>
      </c>
      <c r="B74" s="107" t="s">
        <v>304</v>
      </c>
      <c r="C74" s="113">
        <v>1</v>
      </c>
      <c r="D74" s="108">
        <v>0</v>
      </c>
      <c r="E74" s="108">
        <v>0</v>
      </c>
      <c r="F74" s="108">
        <v>0</v>
      </c>
      <c r="G74" s="108">
        <v>0</v>
      </c>
      <c r="H74" s="108">
        <v>1</v>
      </c>
      <c r="I74" s="109">
        <v>1500</v>
      </c>
      <c r="J74" s="100"/>
    </row>
    <row r="75" spans="1:10" ht="15.75" thickBot="1" x14ac:dyDescent="0.3">
      <c r="A75" s="102"/>
      <c r="B75" s="107" t="s">
        <v>686</v>
      </c>
      <c r="C75" s="108">
        <v>0</v>
      </c>
      <c r="D75" s="108">
        <v>1</v>
      </c>
      <c r="E75" s="108">
        <v>0</v>
      </c>
      <c r="F75" s="108">
        <v>0</v>
      </c>
      <c r="G75" s="108">
        <v>1</v>
      </c>
      <c r="H75" s="108">
        <v>-1</v>
      </c>
      <c r="I75" s="117">
        <v>1500</v>
      </c>
      <c r="J75" s="108" t="s">
        <v>722</v>
      </c>
    </row>
    <row r="76" spans="1:10" ht="15.75" thickBot="1" x14ac:dyDescent="0.3">
      <c r="A76" s="102"/>
      <c r="B76" s="100"/>
      <c r="C76" s="100"/>
      <c r="D76" s="100"/>
      <c r="E76" s="100"/>
      <c r="F76" s="100"/>
      <c r="G76" s="100"/>
      <c r="H76" s="100"/>
      <c r="I76" s="100"/>
      <c r="J76" s="100"/>
    </row>
    <row r="77" spans="1:10" ht="15.75" thickBot="1" x14ac:dyDescent="0.3">
      <c r="A77" s="103" t="s">
        <v>723</v>
      </c>
      <c r="B77" s="97" t="s">
        <v>698</v>
      </c>
      <c r="C77" s="98">
        <v>300</v>
      </c>
      <c r="D77" s="98">
        <v>100</v>
      </c>
      <c r="E77" s="98" t="s">
        <v>703</v>
      </c>
      <c r="F77" s="98" t="s">
        <v>703</v>
      </c>
      <c r="G77" s="98" t="s">
        <v>703</v>
      </c>
      <c r="H77" s="98" t="s">
        <v>703</v>
      </c>
      <c r="I77" s="98" t="s">
        <v>703</v>
      </c>
      <c r="J77" s="100"/>
    </row>
    <row r="78" spans="1:10" ht="15.75" thickBot="1" x14ac:dyDescent="0.3">
      <c r="A78" s="114" t="s">
        <v>724</v>
      </c>
      <c r="B78" s="107" t="s">
        <v>304</v>
      </c>
      <c r="C78" s="113">
        <v>300</v>
      </c>
      <c r="D78" s="113" t="s">
        <v>703</v>
      </c>
      <c r="E78" s="113" t="s">
        <v>703</v>
      </c>
      <c r="F78" s="113" t="s">
        <v>703</v>
      </c>
      <c r="G78" s="113" t="s">
        <v>703</v>
      </c>
      <c r="H78" s="113">
        <v>300</v>
      </c>
      <c r="I78" s="116">
        <v>450000</v>
      </c>
      <c r="J78" s="100"/>
    </row>
    <row r="79" spans="1:10" ht="15.75" thickBot="1" x14ac:dyDescent="0.3">
      <c r="A79" s="102"/>
      <c r="B79" s="107" t="s">
        <v>698</v>
      </c>
      <c r="C79" s="108" t="s">
        <v>703</v>
      </c>
      <c r="D79" s="108">
        <v>100</v>
      </c>
      <c r="E79" s="108" t="s">
        <v>703</v>
      </c>
      <c r="F79" s="108" t="s">
        <v>703</v>
      </c>
      <c r="G79" s="108" t="s">
        <v>703</v>
      </c>
      <c r="H79" s="108">
        <v>-300</v>
      </c>
      <c r="I79" s="109">
        <v>-450000</v>
      </c>
      <c r="J79" s="108" t="s">
        <v>725</v>
      </c>
    </row>
    <row r="80" spans="1:10" x14ac:dyDescent="0.25">
      <c r="A80" s="192"/>
      <c r="B80" s="189"/>
      <c r="C80" s="189"/>
      <c r="D80" s="189"/>
      <c r="E80" s="189"/>
      <c r="F80" s="189"/>
      <c r="G80" s="189"/>
      <c r="H80" s="189"/>
      <c r="I80" s="189"/>
      <c r="J80" s="189"/>
    </row>
    <row r="81" spans="1:10" x14ac:dyDescent="0.25">
      <c r="A81" s="193"/>
      <c r="B81" s="190"/>
      <c r="C81" s="190"/>
      <c r="D81" s="190"/>
      <c r="E81" s="190"/>
      <c r="F81" s="190"/>
      <c r="G81" s="190"/>
      <c r="H81" s="190"/>
      <c r="I81" s="190"/>
      <c r="J81" s="190"/>
    </row>
    <row r="82" spans="1:10" ht="5.25" customHeight="1" x14ac:dyDescent="0.25">
      <c r="A82" s="193"/>
      <c r="B82" s="190"/>
      <c r="C82" s="190"/>
      <c r="D82" s="190"/>
      <c r="E82" s="190"/>
      <c r="F82" s="190"/>
      <c r="G82" s="190"/>
      <c r="H82" s="190"/>
      <c r="I82" s="190"/>
      <c r="J82" s="190"/>
    </row>
    <row r="83" spans="1:10" hidden="1" x14ac:dyDescent="0.25">
      <c r="A83" s="193"/>
      <c r="B83" s="190"/>
      <c r="C83" s="190"/>
      <c r="D83" s="190"/>
      <c r="E83" s="190"/>
      <c r="F83" s="190"/>
      <c r="G83" s="190"/>
      <c r="H83" s="190"/>
      <c r="I83" s="190"/>
      <c r="J83" s="190"/>
    </row>
    <row r="84" spans="1:10" ht="15.75" hidden="1" thickBot="1" x14ac:dyDescent="0.3">
      <c r="A84" s="194"/>
      <c r="B84" s="191"/>
      <c r="C84" s="191"/>
      <c r="D84" s="191"/>
      <c r="E84" s="191"/>
      <c r="F84" s="191"/>
      <c r="G84" s="191"/>
      <c r="H84" s="191"/>
      <c r="I84" s="191"/>
      <c r="J84" s="191"/>
    </row>
    <row r="85" spans="1:10" ht="30.75" thickBot="1" x14ac:dyDescent="0.3">
      <c r="A85" s="118" t="s">
        <v>693</v>
      </c>
      <c r="B85" s="119" t="s">
        <v>694</v>
      </c>
      <c r="C85" s="120" t="s">
        <v>304</v>
      </c>
      <c r="D85" s="120" t="s">
        <v>306</v>
      </c>
      <c r="E85" s="120" t="s">
        <v>678</v>
      </c>
      <c r="F85" s="120" t="s">
        <v>682</v>
      </c>
      <c r="G85" s="120" t="s">
        <v>686</v>
      </c>
      <c r="H85" s="120" t="s">
        <v>690</v>
      </c>
      <c r="I85" s="119" t="s">
        <v>702</v>
      </c>
      <c r="J85" s="121"/>
    </row>
    <row r="86" spans="1:10" ht="15.75" thickBot="1" x14ac:dyDescent="0.3">
      <c r="A86" s="122">
        <v>6</v>
      </c>
      <c r="B86" s="123" t="s">
        <v>304</v>
      </c>
      <c r="C86" s="124">
        <v>1</v>
      </c>
      <c r="D86" s="124">
        <v>0</v>
      </c>
      <c r="E86" s="124">
        <v>0</v>
      </c>
      <c r="F86" s="124">
        <v>0</v>
      </c>
      <c r="G86" s="124">
        <v>0</v>
      </c>
      <c r="H86" s="124">
        <v>1</v>
      </c>
      <c r="I86" s="124">
        <v>1500</v>
      </c>
      <c r="J86" s="125" t="s">
        <v>713</v>
      </c>
    </row>
    <row r="87" spans="1:10" ht="15.75" thickBot="1" x14ac:dyDescent="0.3">
      <c r="A87" s="122">
        <v>7</v>
      </c>
      <c r="B87" s="123" t="s">
        <v>678</v>
      </c>
      <c r="C87" s="124">
        <v>0</v>
      </c>
      <c r="D87" s="124">
        <v>0.5</v>
      </c>
      <c r="E87" s="124">
        <v>1</v>
      </c>
      <c r="F87" s="124">
        <v>0</v>
      </c>
      <c r="G87" s="124">
        <v>0</v>
      </c>
      <c r="H87" s="124">
        <v>-0.25</v>
      </c>
      <c r="I87" s="124">
        <v>625</v>
      </c>
      <c r="J87" s="125" t="s">
        <v>717</v>
      </c>
    </row>
    <row r="88" spans="1:10" ht="15.75" thickBot="1" x14ac:dyDescent="0.3">
      <c r="A88" s="122">
        <v>8</v>
      </c>
      <c r="B88" s="123" t="s">
        <v>682</v>
      </c>
      <c r="C88" s="124">
        <v>0</v>
      </c>
      <c r="D88" s="150">
        <v>1</v>
      </c>
      <c r="E88" s="124">
        <v>0</v>
      </c>
      <c r="F88" s="124">
        <v>1</v>
      </c>
      <c r="G88" s="124">
        <v>0</v>
      </c>
      <c r="H88" s="124">
        <v>-2</v>
      </c>
      <c r="I88" s="124">
        <v>1000</v>
      </c>
      <c r="J88" s="125" t="s">
        <v>720</v>
      </c>
    </row>
    <row r="89" spans="1:10" ht="15.75" thickBot="1" x14ac:dyDescent="0.3">
      <c r="A89" s="122">
        <v>9</v>
      </c>
      <c r="B89" s="123" t="s">
        <v>686</v>
      </c>
      <c r="C89" s="124">
        <v>0</v>
      </c>
      <c r="D89" s="124">
        <v>1</v>
      </c>
      <c r="E89" s="124">
        <v>0</v>
      </c>
      <c r="F89" s="124">
        <v>0</v>
      </c>
      <c r="G89" s="124">
        <v>1</v>
      </c>
      <c r="H89" s="124">
        <v>-1</v>
      </c>
      <c r="I89" s="124">
        <v>1500</v>
      </c>
      <c r="J89" s="125" t="s">
        <v>722</v>
      </c>
    </row>
    <row r="90" spans="1:10" ht="15.75" thickBot="1" x14ac:dyDescent="0.3">
      <c r="A90" s="122">
        <v>10</v>
      </c>
      <c r="B90" s="123" t="s">
        <v>698</v>
      </c>
      <c r="C90" s="124">
        <v>0</v>
      </c>
      <c r="D90" s="124">
        <v>100</v>
      </c>
      <c r="E90" s="124">
        <v>0</v>
      </c>
      <c r="F90" s="124">
        <v>0</v>
      </c>
      <c r="G90" s="124">
        <v>0</v>
      </c>
      <c r="H90" s="124">
        <v>-300</v>
      </c>
      <c r="I90" s="124">
        <v>-450000</v>
      </c>
      <c r="J90" s="125" t="s">
        <v>725</v>
      </c>
    </row>
    <row r="91" spans="1:10" ht="15.75" thickBot="1" x14ac:dyDescent="0.3">
      <c r="A91" s="102"/>
      <c r="B91" s="100"/>
      <c r="C91" s="100"/>
      <c r="D91" s="100"/>
      <c r="E91" s="100"/>
      <c r="F91" s="100"/>
      <c r="G91" s="100"/>
      <c r="H91" s="100"/>
      <c r="I91" s="100"/>
      <c r="J91" s="100"/>
    </row>
    <row r="92" spans="1:10" ht="15.75" thickBot="1" x14ac:dyDescent="0.3">
      <c r="A92" s="180" t="s">
        <v>726</v>
      </c>
      <c r="B92" s="181"/>
      <c r="C92" s="181"/>
      <c r="D92" s="181"/>
      <c r="E92" s="181"/>
      <c r="F92" s="182"/>
      <c r="G92" s="100"/>
      <c r="H92" s="100"/>
      <c r="I92" s="100"/>
      <c r="J92" s="100"/>
    </row>
    <row r="93" spans="1:10" ht="15.75" thickBot="1" x14ac:dyDescent="0.3">
      <c r="A93" s="180" t="s">
        <v>727</v>
      </c>
      <c r="B93" s="181"/>
      <c r="C93" s="182"/>
      <c r="D93" s="100"/>
      <c r="E93" s="100"/>
      <c r="F93" s="100"/>
      <c r="G93" s="100"/>
      <c r="H93" s="100"/>
      <c r="I93" s="100"/>
      <c r="J93" s="100"/>
    </row>
    <row r="94" spans="1:10" ht="15.75" thickBot="1" x14ac:dyDescent="0.3">
      <c r="A94" s="103" t="s">
        <v>728</v>
      </c>
      <c r="B94" s="97" t="s">
        <v>12</v>
      </c>
      <c r="C94" s="98" t="s">
        <v>729</v>
      </c>
      <c r="D94" s="100"/>
      <c r="E94" s="100"/>
      <c r="F94" s="100"/>
      <c r="G94" s="100"/>
      <c r="H94" s="100"/>
      <c r="I94" s="100"/>
      <c r="J94" s="100"/>
    </row>
    <row r="95" spans="1:10" ht="15.75" thickBot="1" x14ac:dyDescent="0.3">
      <c r="A95" s="103" t="s">
        <v>730</v>
      </c>
      <c r="B95" s="97" t="s">
        <v>12</v>
      </c>
      <c r="C95" s="99">
        <v>1250</v>
      </c>
      <c r="D95" s="100"/>
      <c r="E95" s="100"/>
      <c r="F95" s="100"/>
      <c r="G95" s="100"/>
      <c r="H95" s="100"/>
      <c r="I95" s="100"/>
      <c r="J95" s="100"/>
    </row>
    <row r="96" spans="1:10" ht="15.75" thickBot="1" x14ac:dyDescent="0.3">
      <c r="A96" s="103" t="s">
        <v>731</v>
      </c>
      <c r="B96" s="97" t="s">
        <v>12</v>
      </c>
      <c r="C96" s="104">
        <v>1000</v>
      </c>
      <c r="D96" s="100"/>
      <c r="E96" s="100"/>
      <c r="F96" s="100"/>
      <c r="G96" s="100"/>
      <c r="H96" s="100"/>
      <c r="I96" s="100"/>
      <c r="J96" s="100"/>
    </row>
    <row r="97" spans="1:10" ht="15.75" thickBot="1" x14ac:dyDescent="0.3">
      <c r="A97" s="103" t="s">
        <v>710</v>
      </c>
      <c r="B97" s="97" t="s">
        <v>12</v>
      </c>
      <c r="C97" s="99">
        <v>1500</v>
      </c>
      <c r="D97" s="100"/>
      <c r="E97" s="100"/>
      <c r="F97" s="100"/>
      <c r="G97" s="100"/>
      <c r="H97" s="100"/>
      <c r="I97" s="100"/>
      <c r="J97" s="100"/>
    </row>
    <row r="98" spans="1:10" ht="15.75" thickBot="1" x14ac:dyDescent="0.3">
      <c r="A98" s="102"/>
      <c r="B98" s="100"/>
      <c r="C98" s="100"/>
      <c r="D98" s="100"/>
      <c r="E98" s="100"/>
      <c r="F98" s="100"/>
      <c r="G98" s="100"/>
      <c r="H98" s="100"/>
      <c r="I98" s="100"/>
      <c r="J98" s="100"/>
    </row>
    <row r="99" spans="1:10" ht="15.75" thickBot="1" x14ac:dyDescent="0.3">
      <c r="A99" s="180" t="s">
        <v>732</v>
      </c>
      <c r="B99" s="181"/>
      <c r="C99" s="181"/>
      <c r="D99" s="181"/>
      <c r="E99" s="181"/>
      <c r="F99" s="182"/>
      <c r="G99" s="100"/>
      <c r="H99" s="100"/>
      <c r="I99" s="100"/>
      <c r="J99" s="100"/>
    </row>
    <row r="100" spans="1:10" ht="15.75" thickBot="1" x14ac:dyDescent="0.3">
      <c r="A100" s="180" t="s">
        <v>733</v>
      </c>
      <c r="B100" s="181"/>
      <c r="C100" s="181"/>
      <c r="D100" s="181"/>
      <c r="E100" s="181"/>
      <c r="F100" s="182"/>
      <c r="G100" s="100"/>
      <c r="H100" s="100"/>
      <c r="I100" s="100"/>
      <c r="J100" s="100"/>
    </row>
    <row r="101" spans="1:10" ht="15.75" thickBot="1" x14ac:dyDescent="0.3">
      <c r="A101" s="102"/>
      <c r="B101" s="100"/>
      <c r="C101" s="100"/>
      <c r="D101" s="100"/>
      <c r="E101" s="100"/>
      <c r="F101" s="100"/>
      <c r="G101" s="100"/>
      <c r="H101" s="100"/>
      <c r="I101" s="100"/>
      <c r="J101" s="100"/>
    </row>
    <row r="102" spans="1:10" ht="15.75" thickBot="1" x14ac:dyDescent="0.3">
      <c r="A102" s="126">
        <v>8</v>
      </c>
      <c r="B102" s="127" t="s">
        <v>682</v>
      </c>
      <c r="C102" s="105">
        <v>0</v>
      </c>
      <c r="D102" s="128">
        <v>1</v>
      </c>
      <c r="E102" s="105">
        <v>0</v>
      </c>
      <c r="F102" s="105">
        <v>1</v>
      </c>
      <c r="G102" s="105">
        <v>0</v>
      </c>
      <c r="H102" s="105">
        <v>-2</v>
      </c>
      <c r="I102" s="129">
        <v>1000</v>
      </c>
      <c r="J102" s="105" t="s">
        <v>720</v>
      </c>
    </row>
    <row r="103" spans="1:10" ht="15.75" thickBot="1" x14ac:dyDescent="0.3">
      <c r="A103" s="96">
        <v>11</v>
      </c>
      <c r="B103" s="97" t="s">
        <v>306</v>
      </c>
      <c r="C103" s="98">
        <v>0</v>
      </c>
      <c r="D103" s="98">
        <v>1</v>
      </c>
      <c r="E103" s="98">
        <v>0</v>
      </c>
      <c r="F103" s="98">
        <v>1</v>
      </c>
      <c r="G103" s="98">
        <v>0</v>
      </c>
      <c r="H103" s="98">
        <v>-2</v>
      </c>
      <c r="I103" s="99">
        <v>1000</v>
      </c>
      <c r="J103" s="100"/>
    </row>
    <row r="104" spans="1:10" ht="15.75" thickBot="1" x14ac:dyDescent="0.3">
      <c r="A104" s="102"/>
      <c r="B104" s="100"/>
      <c r="C104" s="100"/>
      <c r="D104" s="100"/>
      <c r="E104" s="100"/>
      <c r="F104" s="100"/>
      <c r="G104" s="100"/>
      <c r="H104" s="100"/>
      <c r="I104" s="100"/>
      <c r="J104" s="100"/>
    </row>
    <row r="105" spans="1:10" ht="30.75" thickBot="1" x14ac:dyDescent="0.3">
      <c r="A105" s="110" t="s">
        <v>693</v>
      </c>
      <c r="B105" s="111" t="s">
        <v>694</v>
      </c>
      <c r="C105" s="111" t="s">
        <v>304</v>
      </c>
      <c r="D105" s="111" t="s">
        <v>306</v>
      </c>
      <c r="E105" s="111" t="s">
        <v>678</v>
      </c>
      <c r="F105" s="111" t="s">
        <v>682</v>
      </c>
      <c r="G105" s="111" t="s">
        <v>686</v>
      </c>
      <c r="H105" s="111" t="s">
        <v>690</v>
      </c>
      <c r="I105" s="111" t="s">
        <v>702</v>
      </c>
      <c r="J105" s="100"/>
    </row>
    <row r="106" spans="1:10" ht="15.75" thickBot="1" x14ac:dyDescent="0.3">
      <c r="A106" s="106">
        <v>6</v>
      </c>
      <c r="B106" s="107" t="s">
        <v>304</v>
      </c>
      <c r="C106" s="108">
        <v>1</v>
      </c>
      <c r="D106" s="108">
        <v>0</v>
      </c>
      <c r="E106" s="108">
        <v>0</v>
      </c>
      <c r="F106" s="108">
        <v>0</v>
      </c>
      <c r="G106" s="108">
        <v>0</v>
      </c>
      <c r="H106" s="108">
        <v>1</v>
      </c>
      <c r="I106" s="109">
        <v>1500</v>
      </c>
      <c r="J106" s="108">
        <v>6</v>
      </c>
    </row>
    <row r="107" spans="1:10" ht="15.75" thickBot="1" x14ac:dyDescent="0.3">
      <c r="A107" s="126">
        <v>7</v>
      </c>
      <c r="B107" s="127" t="s">
        <v>678</v>
      </c>
      <c r="C107" s="105">
        <v>0</v>
      </c>
      <c r="D107" s="105">
        <v>0.5</v>
      </c>
      <c r="E107" s="105">
        <v>1</v>
      </c>
      <c r="F107" s="105">
        <v>0</v>
      </c>
      <c r="G107" s="105">
        <v>0</v>
      </c>
      <c r="H107" s="105">
        <v>-0.25</v>
      </c>
      <c r="I107" s="105">
        <v>625</v>
      </c>
      <c r="J107" s="100"/>
    </row>
    <row r="108" spans="1:10" ht="15.75" thickBot="1" x14ac:dyDescent="0.3">
      <c r="A108" s="106">
        <v>11</v>
      </c>
      <c r="B108" s="107" t="s">
        <v>306</v>
      </c>
      <c r="C108" s="108">
        <v>0</v>
      </c>
      <c r="D108" s="113">
        <v>1</v>
      </c>
      <c r="E108" s="108">
        <v>0</v>
      </c>
      <c r="F108" s="108">
        <v>1</v>
      </c>
      <c r="G108" s="108">
        <v>0</v>
      </c>
      <c r="H108" s="108">
        <v>-2</v>
      </c>
      <c r="I108" s="109">
        <v>1000</v>
      </c>
      <c r="J108" s="108">
        <v>11</v>
      </c>
    </row>
    <row r="109" spans="1:10" ht="15.75" thickBot="1" x14ac:dyDescent="0.3">
      <c r="A109" s="126">
        <v>9</v>
      </c>
      <c r="B109" s="127" t="s">
        <v>686</v>
      </c>
      <c r="C109" s="105">
        <v>0</v>
      </c>
      <c r="D109" s="105">
        <v>1</v>
      </c>
      <c r="E109" s="105">
        <v>0</v>
      </c>
      <c r="F109" s="105">
        <v>0</v>
      </c>
      <c r="G109" s="105">
        <v>1</v>
      </c>
      <c r="H109" s="105">
        <v>-1</v>
      </c>
      <c r="I109" s="129">
        <v>1500</v>
      </c>
      <c r="J109" s="100"/>
    </row>
    <row r="110" spans="1:10" ht="15.75" thickBot="1" x14ac:dyDescent="0.3">
      <c r="A110" s="126">
        <v>10</v>
      </c>
      <c r="B110" s="127" t="s">
        <v>698</v>
      </c>
      <c r="C110" s="105">
        <v>0</v>
      </c>
      <c r="D110" s="105">
        <v>100</v>
      </c>
      <c r="E110" s="105">
        <v>0</v>
      </c>
      <c r="F110" s="105">
        <v>0</v>
      </c>
      <c r="G110" s="105">
        <v>0</v>
      </c>
      <c r="H110" s="105">
        <v>-300</v>
      </c>
      <c r="I110" s="129">
        <v>-450000</v>
      </c>
      <c r="J110" s="100"/>
    </row>
    <row r="111" spans="1:10" ht="15.75" thickBot="1" x14ac:dyDescent="0.3">
      <c r="A111" s="102"/>
      <c r="B111" s="100"/>
      <c r="C111" s="100"/>
      <c r="D111" s="100"/>
      <c r="E111" s="100"/>
      <c r="F111" s="100"/>
      <c r="G111" s="100"/>
      <c r="H111" s="100"/>
      <c r="I111" s="100"/>
      <c r="J111" s="100"/>
    </row>
    <row r="112" spans="1:10" ht="15.75" thickBot="1" x14ac:dyDescent="0.3">
      <c r="A112" s="126">
        <v>7</v>
      </c>
      <c r="B112" s="127" t="s">
        <v>678</v>
      </c>
      <c r="C112" s="105">
        <v>0</v>
      </c>
      <c r="D112" s="105">
        <v>0.5</v>
      </c>
      <c r="E112" s="105">
        <v>1</v>
      </c>
      <c r="F112" s="105">
        <v>0</v>
      </c>
      <c r="G112" s="105">
        <v>0</v>
      </c>
      <c r="H112" s="105">
        <v>-0.25</v>
      </c>
      <c r="I112" s="105">
        <v>625</v>
      </c>
      <c r="J112" s="100"/>
    </row>
    <row r="113" spans="1:11" ht="15.75" thickBot="1" x14ac:dyDescent="0.3">
      <c r="A113" s="130" t="s">
        <v>734</v>
      </c>
      <c r="B113" s="127" t="s">
        <v>306</v>
      </c>
      <c r="C113" s="105">
        <v>0</v>
      </c>
      <c r="D113" s="105">
        <v>0.5</v>
      </c>
      <c r="E113" s="105">
        <v>0</v>
      </c>
      <c r="F113" s="105">
        <v>0.5</v>
      </c>
      <c r="G113" s="105">
        <v>0</v>
      </c>
      <c r="H113" s="105">
        <v>-1</v>
      </c>
      <c r="I113" s="105">
        <v>500</v>
      </c>
      <c r="J113" s="100"/>
    </row>
    <row r="114" spans="1:11" ht="15.75" thickBot="1" x14ac:dyDescent="0.3">
      <c r="A114" s="102"/>
      <c r="B114" s="107" t="s">
        <v>678</v>
      </c>
      <c r="C114" s="108">
        <v>0</v>
      </c>
      <c r="D114" s="108">
        <v>0</v>
      </c>
      <c r="E114" s="108">
        <v>1</v>
      </c>
      <c r="F114" s="108">
        <v>-0.5</v>
      </c>
      <c r="G114" s="108">
        <v>0</v>
      </c>
      <c r="H114" s="108">
        <v>0.75</v>
      </c>
      <c r="I114" s="108">
        <v>125</v>
      </c>
      <c r="J114" s="108">
        <v>12</v>
      </c>
    </row>
    <row r="115" spans="1:11" ht="15.75" thickBot="1" x14ac:dyDescent="0.3">
      <c r="A115" s="102"/>
      <c r="B115" s="100"/>
      <c r="C115" s="100"/>
      <c r="D115" s="100"/>
      <c r="E115" s="100"/>
      <c r="F115" s="100"/>
      <c r="G115" s="100"/>
      <c r="H115" s="100"/>
      <c r="I115" s="100"/>
      <c r="J115" s="100"/>
    </row>
    <row r="116" spans="1:11" ht="15.75" thickBot="1" x14ac:dyDescent="0.3">
      <c r="A116" s="126">
        <v>9</v>
      </c>
      <c r="B116" s="127" t="s">
        <v>686</v>
      </c>
      <c r="C116" s="105">
        <v>0</v>
      </c>
      <c r="D116" s="105">
        <v>1</v>
      </c>
      <c r="E116" s="105">
        <v>0</v>
      </c>
      <c r="F116" s="105">
        <v>0</v>
      </c>
      <c r="G116" s="105">
        <v>1</v>
      </c>
      <c r="H116" s="105">
        <v>-1</v>
      </c>
      <c r="I116" s="129">
        <v>1500</v>
      </c>
      <c r="J116" s="100"/>
    </row>
    <row r="117" spans="1:11" ht="15.75" thickBot="1" x14ac:dyDescent="0.3">
      <c r="A117" s="126">
        <v>11</v>
      </c>
      <c r="B117" s="127" t="s">
        <v>306</v>
      </c>
      <c r="C117" s="105">
        <v>0</v>
      </c>
      <c r="D117" s="128">
        <v>1</v>
      </c>
      <c r="E117" s="105">
        <v>0</v>
      </c>
      <c r="F117" s="105">
        <v>1</v>
      </c>
      <c r="G117" s="105">
        <v>0</v>
      </c>
      <c r="H117" s="105">
        <v>-2</v>
      </c>
      <c r="I117" s="129">
        <v>1000</v>
      </c>
      <c r="J117" s="100"/>
    </row>
    <row r="118" spans="1:11" ht="15.75" thickBot="1" x14ac:dyDescent="0.3">
      <c r="A118" s="102"/>
      <c r="B118" s="107" t="s">
        <v>686</v>
      </c>
      <c r="C118" s="108">
        <v>0</v>
      </c>
      <c r="D118" s="108">
        <v>0</v>
      </c>
      <c r="E118" s="108">
        <v>0</v>
      </c>
      <c r="F118" s="108">
        <v>-1</v>
      </c>
      <c r="G118" s="108">
        <v>1</v>
      </c>
      <c r="H118" s="108">
        <v>1</v>
      </c>
      <c r="I118" s="108">
        <v>500</v>
      </c>
      <c r="J118" s="108">
        <v>13</v>
      </c>
    </row>
    <row r="119" spans="1:11" ht="15.75" thickBot="1" x14ac:dyDescent="0.3">
      <c r="A119" s="102"/>
      <c r="B119" s="100"/>
      <c r="C119" s="100"/>
      <c r="D119" s="100"/>
      <c r="E119" s="100"/>
      <c r="F119" s="100"/>
      <c r="G119" s="100"/>
      <c r="H119" s="100"/>
      <c r="I119" s="100"/>
      <c r="J119" s="100"/>
    </row>
    <row r="120" spans="1:11" ht="15.75" thickBot="1" x14ac:dyDescent="0.3">
      <c r="A120" s="126">
        <v>10</v>
      </c>
      <c r="B120" s="127" t="s">
        <v>698</v>
      </c>
      <c r="C120" s="105">
        <v>0</v>
      </c>
      <c r="D120" s="105">
        <v>100</v>
      </c>
      <c r="E120" s="105">
        <v>0</v>
      </c>
      <c r="F120" s="105">
        <v>0</v>
      </c>
      <c r="G120" s="105">
        <v>0</v>
      </c>
      <c r="H120" s="105">
        <v>-300</v>
      </c>
      <c r="I120" s="129">
        <v>-450000</v>
      </c>
      <c r="J120" s="100"/>
    </row>
    <row r="121" spans="1:11" ht="15.75" thickBot="1" x14ac:dyDescent="0.3">
      <c r="A121" s="130" t="s">
        <v>735</v>
      </c>
      <c r="B121" s="127" t="s">
        <v>306</v>
      </c>
      <c r="C121" s="105" t="s">
        <v>703</v>
      </c>
      <c r="D121" s="105">
        <v>100</v>
      </c>
      <c r="E121" s="105" t="s">
        <v>703</v>
      </c>
      <c r="F121" s="105">
        <v>100</v>
      </c>
      <c r="G121" s="105" t="s">
        <v>703</v>
      </c>
      <c r="H121" s="105">
        <v>-200</v>
      </c>
      <c r="I121" s="129">
        <v>100000</v>
      </c>
      <c r="J121" s="105">
        <v>11</v>
      </c>
    </row>
    <row r="122" spans="1:11" ht="15.75" thickBot="1" x14ac:dyDescent="0.3">
      <c r="A122" s="102"/>
      <c r="B122" s="107" t="s">
        <v>698</v>
      </c>
      <c r="C122" s="108" t="s">
        <v>703</v>
      </c>
      <c r="D122" s="108" t="s">
        <v>703</v>
      </c>
      <c r="E122" s="108" t="s">
        <v>703</v>
      </c>
      <c r="F122" s="108">
        <v>-100</v>
      </c>
      <c r="G122" s="108" t="s">
        <v>703</v>
      </c>
      <c r="H122" s="108">
        <v>-100</v>
      </c>
      <c r="I122" s="109">
        <v>-550000</v>
      </c>
      <c r="J122" s="108">
        <v>14</v>
      </c>
    </row>
    <row r="123" spans="1:11" ht="15.75" thickBot="1" x14ac:dyDescent="0.3">
      <c r="A123" s="102"/>
      <c r="B123" s="100"/>
      <c r="C123" s="100"/>
      <c r="D123" s="100"/>
      <c r="E123" s="100"/>
      <c r="F123" s="100"/>
      <c r="G123" s="100"/>
      <c r="H123" s="100"/>
      <c r="I123" s="100"/>
      <c r="J123" s="100"/>
    </row>
    <row r="124" spans="1:11" ht="21.75" thickBot="1" x14ac:dyDescent="0.4">
      <c r="A124" s="186" t="s">
        <v>736</v>
      </c>
      <c r="B124" s="187"/>
      <c r="C124" s="187"/>
      <c r="D124" s="187"/>
      <c r="E124" s="187"/>
      <c r="F124" s="187"/>
      <c r="G124" s="187"/>
      <c r="H124" s="187"/>
      <c r="I124" s="187"/>
      <c r="J124" s="188"/>
    </row>
    <row r="125" spans="1:11" ht="30.75" thickBot="1" x14ac:dyDescent="0.3">
      <c r="A125" s="131" t="s">
        <v>693</v>
      </c>
      <c r="B125" s="132" t="s">
        <v>694</v>
      </c>
      <c r="C125" s="133" t="s">
        <v>737</v>
      </c>
      <c r="D125" s="133" t="s">
        <v>738</v>
      </c>
      <c r="E125" s="133" t="s">
        <v>739</v>
      </c>
      <c r="F125" s="133" t="s">
        <v>740</v>
      </c>
      <c r="G125" s="133" t="s">
        <v>741</v>
      </c>
      <c r="H125" s="133" t="s">
        <v>742</v>
      </c>
      <c r="I125" s="134" t="s">
        <v>743</v>
      </c>
      <c r="J125" s="131"/>
    </row>
    <row r="126" spans="1:11" x14ac:dyDescent="0.25">
      <c r="A126" s="135">
        <v>6</v>
      </c>
      <c r="B126" s="136" t="s">
        <v>304</v>
      </c>
      <c r="C126" s="137">
        <v>1</v>
      </c>
      <c r="D126" s="137" t="s">
        <v>703</v>
      </c>
      <c r="E126" s="137" t="s">
        <v>703</v>
      </c>
      <c r="F126" s="137" t="s">
        <v>703</v>
      </c>
      <c r="G126" s="137" t="s">
        <v>703</v>
      </c>
      <c r="H126" s="137">
        <v>1</v>
      </c>
      <c r="I126" s="138">
        <v>1500</v>
      </c>
      <c r="J126" s="135"/>
      <c r="K126" s="139" t="s">
        <v>744</v>
      </c>
    </row>
    <row r="127" spans="1:11" x14ac:dyDescent="0.25">
      <c r="A127" s="84">
        <v>11</v>
      </c>
      <c r="B127" s="140" t="s">
        <v>306</v>
      </c>
      <c r="C127" s="86" t="s">
        <v>703</v>
      </c>
      <c r="D127" s="86">
        <v>1</v>
      </c>
      <c r="E127" s="86" t="s">
        <v>703</v>
      </c>
      <c r="F127" s="86">
        <v>1</v>
      </c>
      <c r="G127" s="86" t="s">
        <v>703</v>
      </c>
      <c r="H127" s="86">
        <v>-2</v>
      </c>
      <c r="I127" s="141">
        <v>1000</v>
      </c>
      <c r="J127" s="84"/>
      <c r="K127" s="139" t="s">
        <v>745</v>
      </c>
    </row>
    <row r="128" spans="1:11" x14ac:dyDescent="0.25">
      <c r="A128" s="84">
        <v>12</v>
      </c>
      <c r="B128" s="140" t="s">
        <v>678</v>
      </c>
      <c r="C128" s="86" t="s">
        <v>703</v>
      </c>
      <c r="D128" s="86" t="s">
        <v>703</v>
      </c>
      <c r="E128" s="86">
        <v>1</v>
      </c>
      <c r="F128" s="86">
        <v>-0.5</v>
      </c>
      <c r="G128" s="86" t="s">
        <v>703</v>
      </c>
      <c r="H128" s="86">
        <v>0.75</v>
      </c>
      <c r="I128" s="141">
        <v>125</v>
      </c>
      <c r="J128" s="84"/>
      <c r="K128" s="139" t="s">
        <v>746</v>
      </c>
    </row>
    <row r="129" spans="1:14" x14ac:dyDescent="0.25">
      <c r="A129" s="84">
        <v>13</v>
      </c>
      <c r="B129" s="140" t="s">
        <v>686</v>
      </c>
      <c r="C129" s="86" t="s">
        <v>703</v>
      </c>
      <c r="D129" s="86" t="s">
        <v>703</v>
      </c>
      <c r="E129" s="86" t="s">
        <v>703</v>
      </c>
      <c r="F129" s="86">
        <v>-1</v>
      </c>
      <c r="G129" s="86">
        <v>1</v>
      </c>
      <c r="H129" s="86">
        <v>1</v>
      </c>
      <c r="I129" s="141">
        <v>500</v>
      </c>
      <c r="J129" s="84"/>
      <c r="K129" s="139" t="s">
        <v>747</v>
      </c>
    </row>
    <row r="130" spans="1:14" ht="15.75" thickBot="1" x14ac:dyDescent="0.3">
      <c r="A130" s="142">
        <v>14</v>
      </c>
      <c r="B130" s="143" t="s">
        <v>698</v>
      </c>
      <c r="C130" s="144" t="s">
        <v>703</v>
      </c>
      <c r="D130" s="144" t="s">
        <v>703</v>
      </c>
      <c r="E130" s="144" t="s">
        <v>703</v>
      </c>
      <c r="F130" s="144">
        <v>-100</v>
      </c>
      <c r="G130" s="144" t="s">
        <v>703</v>
      </c>
      <c r="H130" s="144">
        <v>-100</v>
      </c>
      <c r="I130" s="145">
        <v>-550000</v>
      </c>
      <c r="J130" s="142"/>
      <c r="K130" s="10" t="s">
        <v>748</v>
      </c>
      <c r="L130" s="10"/>
      <c r="M130" s="10"/>
      <c r="N130" s="10"/>
    </row>
    <row r="131" spans="1:14" ht="75" x14ac:dyDescent="0.25">
      <c r="F131" s="146" t="s">
        <v>328</v>
      </c>
      <c r="G131" s="147"/>
      <c r="H131" s="146" t="s">
        <v>328</v>
      </c>
      <c r="I131" s="148" t="s">
        <v>749</v>
      </c>
    </row>
    <row r="136" spans="1:14" x14ac:dyDescent="0.25">
      <c r="E136" s="149"/>
    </row>
    <row r="137" spans="1:14" x14ac:dyDescent="0.25">
      <c r="E137" s="149"/>
    </row>
    <row r="140" spans="1:14" x14ac:dyDescent="0.25">
      <c r="D140" s="17"/>
      <c r="E140" s="17"/>
      <c r="F140" s="17"/>
      <c r="G140" s="17"/>
      <c r="I140" s="17"/>
    </row>
    <row r="141" spans="1:14" x14ac:dyDescent="0.25">
      <c r="D141" s="17"/>
      <c r="E141" s="17"/>
      <c r="F141" s="17"/>
      <c r="G141" s="17"/>
      <c r="I141" s="17"/>
    </row>
    <row r="142" spans="1:14" x14ac:dyDescent="0.25">
      <c r="D142" s="17"/>
      <c r="E142" s="17"/>
      <c r="F142" s="17"/>
      <c r="G142" s="17"/>
    </row>
    <row r="143" spans="1:14" x14ac:dyDescent="0.25">
      <c r="D143" s="3"/>
      <c r="E143" s="3"/>
      <c r="F143" s="3"/>
      <c r="G143" s="3"/>
    </row>
    <row r="146" spans="4:12" x14ac:dyDescent="0.25">
      <c r="D146" s="7"/>
      <c r="E146" s="7"/>
      <c r="F146" s="7"/>
      <c r="G146" s="7"/>
      <c r="H146" s="7"/>
      <c r="J146" s="7"/>
      <c r="L146" s="7"/>
    </row>
    <row r="147" spans="4:12" x14ac:dyDescent="0.25">
      <c r="D147" s="7"/>
      <c r="E147" s="7"/>
      <c r="F147" s="7"/>
      <c r="G147" s="7"/>
      <c r="H147" s="7"/>
      <c r="J147" s="7"/>
      <c r="L147" s="7"/>
    </row>
    <row r="148" spans="4:12" x14ac:dyDescent="0.25">
      <c r="D148" s="7"/>
      <c r="E148" s="7"/>
      <c r="F148" s="7"/>
      <c r="G148" s="7"/>
      <c r="H148" s="7"/>
      <c r="J148" s="7"/>
      <c r="L148" s="7"/>
    </row>
  </sheetData>
  <mergeCells count="20">
    <mergeCell ref="A93:C93"/>
    <mergeCell ref="A99:F99"/>
    <mergeCell ref="A100:F100"/>
    <mergeCell ref="A124:J124"/>
    <mergeCell ref="F80:F84"/>
    <mergeCell ref="G80:G84"/>
    <mergeCell ref="H80:H84"/>
    <mergeCell ref="I80:I84"/>
    <mergeCell ref="J80:J84"/>
    <mergeCell ref="A92:F92"/>
    <mergeCell ref="A80:A84"/>
    <mergeCell ref="B80:B84"/>
    <mergeCell ref="C80:C84"/>
    <mergeCell ref="D80:D84"/>
    <mergeCell ref="E80:E84"/>
    <mergeCell ref="A44:F44"/>
    <mergeCell ref="A45:C45"/>
    <mergeCell ref="A51:F51"/>
    <mergeCell ref="A52:F52"/>
    <mergeCell ref="A64:F64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E21" sqref="E21"/>
    </sheetView>
  </sheetViews>
  <sheetFormatPr defaultRowHeight="15" x14ac:dyDescent="0.25"/>
  <cols>
    <col min="1" max="1" width="22.42578125" bestFit="1" customWidth="1"/>
    <col min="2" max="2" width="20.28515625" bestFit="1" customWidth="1"/>
    <col min="3" max="3" width="11.5703125" bestFit="1" customWidth="1"/>
    <col min="4" max="4" width="12.85546875" customWidth="1"/>
    <col min="5" max="5" width="11.5703125" bestFit="1" customWidth="1"/>
    <col min="11" max="11" width="12.28515625" bestFit="1" customWidth="1"/>
  </cols>
  <sheetData>
    <row r="2" spans="1:11" x14ac:dyDescent="0.25">
      <c r="A2" s="6" t="s">
        <v>750</v>
      </c>
      <c r="B2" s="13" t="s">
        <v>751</v>
      </c>
    </row>
    <row r="4" spans="1:11" x14ac:dyDescent="0.25">
      <c r="C4" s="11" t="s">
        <v>126</v>
      </c>
      <c r="D4" s="11" t="s">
        <v>127</v>
      </c>
      <c r="E4" s="11" t="s">
        <v>752</v>
      </c>
      <c r="H4" s="2" t="s">
        <v>753</v>
      </c>
      <c r="K4" s="37" t="s">
        <v>754</v>
      </c>
    </row>
    <row r="5" spans="1:11" x14ac:dyDescent="0.25">
      <c r="A5" s="8" t="s">
        <v>11</v>
      </c>
      <c r="H5" t="s">
        <v>109</v>
      </c>
      <c r="I5" t="s">
        <v>755</v>
      </c>
      <c r="K5" s="3">
        <f>650*1000</f>
        <v>650000</v>
      </c>
    </row>
    <row r="6" spans="1:11" x14ac:dyDescent="0.25">
      <c r="A6" t="s">
        <v>50</v>
      </c>
      <c r="B6" t="s">
        <v>756</v>
      </c>
      <c r="C6" s="3">
        <f>600*1000</f>
        <v>600000</v>
      </c>
      <c r="D6" s="3">
        <v>600000</v>
      </c>
      <c r="E6" s="3">
        <v>600000</v>
      </c>
      <c r="H6" t="s">
        <v>757</v>
      </c>
      <c r="I6" t="s">
        <v>758</v>
      </c>
      <c r="K6" s="3">
        <f>-1000*575</f>
        <v>-575000</v>
      </c>
    </row>
    <row r="7" spans="1:11" x14ac:dyDescent="0.25">
      <c r="A7" t="s">
        <v>759</v>
      </c>
      <c r="C7" s="3">
        <v>0</v>
      </c>
      <c r="D7" s="3">
        <v>20000</v>
      </c>
      <c r="E7" s="3">
        <v>20000</v>
      </c>
      <c r="H7" t="s">
        <v>192</v>
      </c>
      <c r="K7" s="7">
        <f>SUM(K5:K6)</f>
        <v>75000</v>
      </c>
    </row>
    <row r="8" spans="1:11" x14ac:dyDescent="0.25">
      <c r="A8" t="s">
        <v>760</v>
      </c>
      <c r="C8" s="15">
        <v>0</v>
      </c>
      <c r="D8" s="15">
        <v>0</v>
      </c>
      <c r="E8" s="45">
        <f>+K9</f>
        <v>25000</v>
      </c>
      <c r="H8" t="s">
        <v>207</v>
      </c>
      <c r="K8" s="3">
        <v>-50000</v>
      </c>
    </row>
    <row r="9" spans="1:11" ht="15.75" thickBot="1" x14ac:dyDescent="0.3">
      <c r="A9" t="s">
        <v>761</v>
      </c>
      <c r="C9" s="7">
        <f>SUM(C6:C8)</f>
        <v>600000</v>
      </c>
      <c r="D9" s="7">
        <f>SUM(D6:D8)</f>
        <v>620000</v>
      </c>
      <c r="E9" s="7">
        <f>SUM(E6:E8)</f>
        <v>645000</v>
      </c>
      <c r="H9" t="s">
        <v>187</v>
      </c>
      <c r="K9" s="9">
        <f>SUM(K7:K8)</f>
        <v>25000</v>
      </c>
    </row>
    <row r="10" spans="1:11" ht="15.75" thickTop="1" x14ac:dyDescent="0.25"/>
    <row r="11" spans="1:11" x14ac:dyDescent="0.25">
      <c r="A11" t="s">
        <v>72</v>
      </c>
      <c r="B11" t="s">
        <v>762</v>
      </c>
      <c r="C11" s="3">
        <f>625*1000</f>
        <v>625000</v>
      </c>
      <c r="D11" s="7">
        <v>625000</v>
      </c>
      <c r="E11" s="3">
        <v>625000</v>
      </c>
    </row>
    <row r="13" spans="1:11" x14ac:dyDescent="0.25">
      <c r="A13" t="s">
        <v>763</v>
      </c>
      <c r="C13" s="7">
        <f>C11-C9</f>
        <v>25000</v>
      </c>
      <c r="D13" s="7">
        <f>D11-D9</f>
        <v>5000</v>
      </c>
      <c r="E13" s="7">
        <f>E11-E9</f>
        <v>-20000</v>
      </c>
    </row>
    <row r="15" spans="1:11" s="10" customFormat="1" x14ac:dyDescent="0.25">
      <c r="A15" s="10" t="s">
        <v>764</v>
      </c>
      <c r="C15" s="151" t="s">
        <v>765</v>
      </c>
      <c r="D15" s="151" t="s">
        <v>765</v>
      </c>
      <c r="E15" s="151" t="s">
        <v>766</v>
      </c>
    </row>
  </sheetData>
  <pageMargins left="0.7" right="0.7" top="0.75" bottom="0.75" header="0.3" footer="0.3"/>
  <pageSetup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F23" sqref="F23"/>
    </sheetView>
  </sheetViews>
  <sheetFormatPr defaultRowHeight="15" x14ac:dyDescent="0.25"/>
  <cols>
    <col min="1" max="1" width="31.85546875" bestFit="1" customWidth="1"/>
    <col min="2" max="2" width="21.85546875" bestFit="1" customWidth="1"/>
    <col min="3" max="3" width="10.42578125" bestFit="1" customWidth="1"/>
    <col min="4" max="4" width="21" bestFit="1" customWidth="1"/>
    <col min="6" max="6" width="14" customWidth="1"/>
    <col min="9" max="9" width="14.42578125" bestFit="1" customWidth="1"/>
  </cols>
  <sheetData>
    <row r="2" spans="1:11" x14ac:dyDescent="0.25">
      <c r="A2" s="6" t="s">
        <v>767</v>
      </c>
    </row>
    <row r="3" spans="1:11" x14ac:dyDescent="0.25">
      <c r="A3" s="6"/>
    </row>
    <row r="4" spans="1:11" x14ac:dyDescent="0.25">
      <c r="A4" s="6" t="s">
        <v>140</v>
      </c>
    </row>
    <row r="5" spans="1:11" x14ac:dyDescent="0.25">
      <c r="B5" t="s">
        <v>768</v>
      </c>
      <c r="D5" t="s">
        <v>769</v>
      </c>
      <c r="F5" t="s">
        <v>18</v>
      </c>
    </row>
    <row r="6" spans="1:11" x14ac:dyDescent="0.25">
      <c r="B6" s="11" t="s">
        <v>770</v>
      </c>
      <c r="D6" s="152" t="s">
        <v>771</v>
      </c>
      <c r="I6" t="s">
        <v>772</v>
      </c>
      <c r="J6">
        <v>15</v>
      </c>
    </row>
    <row r="7" spans="1:11" x14ac:dyDescent="0.25">
      <c r="A7" t="s">
        <v>111</v>
      </c>
      <c r="B7" s="3">
        <v>30</v>
      </c>
      <c r="C7" t="s">
        <v>773</v>
      </c>
      <c r="D7" s="3">
        <f>(30*0.8)+9</f>
        <v>33</v>
      </c>
      <c r="F7" s="3">
        <f>+B7*0.2</f>
        <v>6</v>
      </c>
      <c r="I7" t="s">
        <v>774</v>
      </c>
      <c r="J7">
        <v>10</v>
      </c>
      <c r="K7" t="s">
        <v>775</v>
      </c>
    </row>
    <row r="8" spans="1:11" x14ac:dyDescent="0.25">
      <c r="A8" t="s">
        <v>112</v>
      </c>
      <c r="B8" s="3">
        <v>20</v>
      </c>
      <c r="C8" t="s">
        <v>776</v>
      </c>
      <c r="D8" s="3">
        <f>20*0.9</f>
        <v>18</v>
      </c>
      <c r="F8" s="3">
        <f>+B8*0.1</f>
        <v>2</v>
      </c>
      <c r="I8" t="s">
        <v>312</v>
      </c>
      <c r="J8">
        <f>J6-J7</f>
        <v>5</v>
      </c>
    </row>
    <row r="9" spans="1:11" x14ac:dyDescent="0.25">
      <c r="A9" t="s">
        <v>312</v>
      </c>
      <c r="B9" s="3">
        <v>5</v>
      </c>
      <c r="C9" s="3" t="s">
        <v>777</v>
      </c>
      <c r="D9" s="3">
        <f>5*0.9</f>
        <v>4.5</v>
      </c>
      <c r="F9" s="3">
        <f>+B9*0.1</f>
        <v>0.5</v>
      </c>
    </row>
    <row r="10" spans="1:11" ht="15.75" thickBot="1" x14ac:dyDescent="0.3">
      <c r="B10" s="9">
        <f>SUM(B7:B9)</f>
        <v>55</v>
      </c>
      <c r="D10" s="9">
        <f>SUM(D7:D9)</f>
        <v>55.5</v>
      </c>
      <c r="F10" s="9">
        <f>SUM(F7:F9)</f>
        <v>8.5</v>
      </c>
    </row>
    <row r="11" spans="1:11" ht="15.75" thickTop="1" x14ac:dyDescent="0.25">
      <c r="B11" s="153" t="s">
        <v>778</v>
      </c>
      <c r="F11" s="3">
        <v>9</v>
      </c>
    </row>
    <row r="13" spans="1:11" x14ac:dyDescent="0.25">
      <c r="A13" t="s">
        <v>144</v>
      </c>
    </row>
    <row r="14" spans="1:11" x14ac:dyDescent="0.25">
      <c r="A14" t="s">
        <v>779</v>
      </c>
      <c r="B14" s="3">
        <v>9</v>
      </c>
    </row>
    <row r="15" spans="1:11" x14ac:dyDescent="0.25">
      <c r="A15" t="s">
        <v>780</v>
      </c>
      <c r="B15" s="3">
        <v>-0.5</v>
      </c>
    </row>
    <row r="16" spans="1:11" ht="15.75" thickBot="1" x14ac:dyDescent="0.3">
      <c r="A16" t="s">
        <v>781</v>
      </c>
      <c r="B16" s="9">
        <f>SUM(B14:B15)</f>
        <v>8.5</v>
      </c>
    </row>
    <row r="17" ht="15.75" thickTop="1" x14ac:dyDescent="0.25"/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H22" sqref="H22"/>
    </sheetView>
  </sheetViews>
  <sheetFormatPr defaultRowHeight="15" x14ac:dyDescent="0.25"/>
  <sheetData>
    <row r="2" spans="1:1" x14ac:dyDescent="0.25">
      <c r="A2" t="s">
        <v>782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workbookViewId="0">
      <selection activeCell="H22" sqref="H22"/>
    </sheetView>
  </sheetViews>
  <sheetFormatPr defaultRowHeight="15" x14ac:dyDescent="0.25"/>
  <cols>
    <col min="1" max="1" width="28.5703125" bestFit="1" customWidth="1"/>
    <col min="2" max="2" width="10.7109375" bestFit="1" customWidth="1"/>
    <col min="3" max="3" width="10.5703125" bestFit="1" customWidth="1"/>
    <col min="4" max="4" width="11.5703125" bestFit="1" customWidth="1"/>
    <col min="6" max="6" width="15" bestFit="1" customWidth="1"/>
  </cols>
  <sheetData>
    <row r="2" spans="1:4" x14ac:dyDescent="0.25">
      <c r="A2" s="6" t="s">
        <v>783</v>
      </c>
    </row>
    <row r="4" spans="1:4" x14ac:dyDescent="0.25">
      <c r="A4" t="s">
        <v>216</v>
      </c>
      <c r="B4" t="s">
        <v>301</v>
      </c>
      <c r="C4" t="s">
        <v>784</v>
      </c>
      <c r="D4" t="s">
        <v>785</v>
      </c>
    </row>
    <row r="5" spans="1:4" x14ac:dyDescent="0.25">
      <c r="A5" t="s">
        <v>217</v>
      </c>
      <c r="B5" s="3">
        <v>4000</v>
      </c>
      <c r="C5">
        <v>3</v>
      </c>
      <c r="D5" s="7">
        <f>B5*C5</f>
        <v>12000</v>
      </c>
    </row>
    <row r="6" spans="1:4" x14ac:dyDescent="0.25">
      <c r="A6" t="s">
        <v>218</v>
      </c>
      <c r="B6" s="3">
        <v>4000</v>
      </c>
      <c r="C6">
        <v>2</v>
      </c>
      <c r="D6" s="7">
        <f t="shared" ref="D6:D7" si="0">B6*C6</f>
        <v>8000</v>
      </c>
    </row>
    <row r="7" spans="1:4" x14ac:dyDescent="0.25">
      <c r="A7" t="s">
        <v>219</v>
      </c>
      <c r="B7" s="3">
        <v>4000</v>
      </c>
      <c r="C7">
        <v>4</v>
      </c>
      <c r="D7" s="45">
        <f t="shared" si="0"/>
        <v>16000</v>
      </c>
    </row>
    <row r="8" spans="1:4" x14ac:dyDescent="0.25">
      <c r="A8" t="s">
        <v>786</v>
      </c>
      <c r="D8" s="7">
        <f>SUM(D5:D7)</f>
        <v>36000</v>
      </c>
    </row>
    <row r="9" spans="1:4" x14ac:dyDescent="0.25">
      <c r="A9" t="s">
        <v>787</v>
      </c>
      <c r="D9" s="3">
        <v>20000</v>
      </c>
    </row>
    <row r="10" spans="1:4" ht="15.75" thickBot="1" x14ac:dyDescent="0.3">
      <c r="A10" s="10" t="s">
        <v>310</v>
      </c>
      <c r="B10" s="10"/>
      <c r="C10" s="10"/>
      <c r="D10" s="154">
        <f>D8-D9</f>
        <v>16000</v>
      </c>
    </row>
    <row r="11" spans="1:4" ht="15.75" thickTop="1" x14ac:dyDescent="0.25"/>
    <row r="12" spans="1:4" x14ac:dyDescent="0.25">
      <c r="B12" s="35" t="s">
        <v>217</v>
      </c>
      <c r="C12" s="35" t="s">
        <v>218</v>
      </c>
      <c r="D12" s="35" t="s">
        <v>219</v>
      </c>
    </row>
    <row r="13" spans="1:4" x14ac:dyDescent="0.25">
      <c r="A13" t="s">
        <v>788</v>
      </c>
      <c r="B13" s="3">
        <v>29</v>
      </c>
      <c r="C13" s="3">
        <v>40</v>
      </c>
      <c r="D13" s="3">
        <v>34</v>
      </c>
    </row>
    <row r="14" spans="1:4" x14ac:dyDescent="0.25">
      <c r="A14" t="s">
        <v>789</v>
      </c>
      <c r="B14" s="3">
        <v>20</v>
      </c>
      <c r="C14" s="3">
        <v>36</v>
      </c>
      <c r="D14" s="3">
        <v>24</v>
      </c>
    </row>
    <row r="15" spans="1:4" x14ac:dyDescent="0.25">
      <c r="A15" t="s">
        <v>790</v>
      </c>
      <c r="B15" s="7">
        <f>B13-B14</f>
        <v>9</v>
      </c>
      <c r="C15" s="7">
        <f t="shared" ref="C15:D15" si="1">C13-C14</f>
        <v>4</v>
      </c>
      <c r="D15" s="7">
        <f t="shared" si="1"/>
        <v>10</v>
      </c>
    </row>
    <row r="16" spans="1:4" x14ac:dyDescent="0.25">
      <c r="A16" t="s">
        <v>791</v>
      </c>
      <c r="B16" s="3">
        <v>3</v>
      </c>
      <c r="C16" s="3">
        <v>2</v>
      </c>
      <c r="D16" s="3">
        <v>4</v>
      </c>
    </row>
    <row r="17" spans="1:6" x14ac:dyDescent="0.25">
      <c r="A17" t="s">
        <v>792</v>
      </c>
      <c r="B17" s="3">
        <f>B15/B16</f>
        <v>3</v>
      </c>
      <c r="C17" s="3">
        <f t="shared" ref="C17:D17" si="2">C15/C16</f>
        <v>2</v>
      </c>
      <c r="D17" s="3">
        <f t="shared" si="2"/>
        <v>2.5</v>
      </c>
    </row>
    <row r="18" spans="1:6" x14ac:dyDescent="0.25">
      <c r="A18" s="10" t="s">
        <v>243</v>
      </c>
      <c r="B18" s="21">
        <v>1</v>
      </c>
      <c r="C18" s="21">
        <v>3</v>
      </c>
      <c r="D18" s="21">
        <v>2</v>
      </c>
    </row>
    <row r="20" spans="1:6" x14ac:dyDescent="0.25">
      <c r="A20" t="s">
        <v>793</v>
      </c>
      <c r="B20" t="s">
        <v>339</v>
      </c>
      <c r="C20" t="s">
        <v>784</v>
      </c>
      <c r="D20" t="s">
        <v>785</v>
      </c>
      <c r="F20" s="10" t="s">
        <v>794</v>
      </c>
    </row>
    <row r="21" spans="1:6" x14ac:dyDescent="0.25">
      <c r="A21" t="s">
        <v>217</v>
      </c>
      <c r="B21" s="3">
        <v>4000</v>
      </c>
      <c r="C21" s="3">
        <v>3</v>
      </c>
      <c r="D21" s="3">
        <f>B21*C21</f>
        <v>12000</v>
      </c>
      <c r="F21" s="10"/>
    </row>
    <row r="22" spans="1:6" x14ac:dyDescent="0.25">
      <c r="A22" t="s">
        <v>219</v>
      </c>
      <c r="B22" s="22">
        <f>D22/C22</f>
        <v>2000</v>
      </c>
      <c r="C22" s="3">
        <v>4</v>
      </c>
      <c r="D22" s="22">
        <v>8000</v>
      </c>
      <c r="F22" s="21">
        <v>2000</v>
      </c>
    </row>
    <row r="23" spans="1:6" x14ac:dyDescent="0.25">
      <c r="A23" t="s">
        <v>218</v>
      </c>
      <c r="F23" s="21">
        <v>4000</v>
      </c>
    </row>
    <row r="24" spans="1:6" ht="15.75" thickBot="1" x14ac:dyDescent="0.3">
      <c r="D24" s="19">
        <v>20000</v>
      </c>
    </row>
    <row r="25" spans="1:6" ht="15.75" thickTop="1" x14ac:dyDescent="0.25"/>
    <row r="26" spans="1:6" x14ac:dyDescent="0.25">
      <c r="A26" t="s">
        <v>253</v>
      </c>
    </row>
    <row r="27" spans="1:6" x14ac:dyDescent="0.25">
      <c r="A27" s="8" t="s">
        <v>192</v>
      </c>
    </row>
    <row r="28" spans="1:6" x14ac:dyDescent="0.25">
      <c r="A28" t="s">
        <v>217</v>
      </c>
      <c r="B28" t="s">
        <v>795</v>
      </c>
      <c r="D28" s="3">
        <f>4000*15</f>
        <v>60000</v>
      </c>
    </row>
    <row r="29" spans="1:6" x14ac:dyDescent="0.25">
      <c r="A29" t="s">
        <v>218</v>
      </c>
      <c r="B29" t="s">
        <v>796</v>
      </c>
      <c r="D29" s="3">
        <f>4000*5</f>
        <v>20000</v>
      </c>
    </row>
    <row r="30" spans="1:6" x14ac:dyDescent="0.25">
      <c r="A30" t="s">
        <v>219</v>
      </c>
      <c r="B30" t="s">
        <v>797</v>
      </c>
      <c r="C30" s="3">
        <f>2000*16</f>
        <v>32000</v>
      </c>
    </row>
    <row r="31" spans="1:6" x14ac:dyDescent="0.25">
      <c r="B31" t="s">
        <v>798</v>
      </c>
      <c r="C31" s="3">
        <f>2000*6</f>
        <v>12000</v>
      </c>
      <c r="D31" s="45">
        <f>SUM(C30:C31)</f>
        <v>44000</v>
      </c>
    </row>
    <row r="32" spans="1:6" x14ac:dyDescent="0.25">
      <c r="A32" s="6" t="s">
        <v>164</v>
      </c>
      <c r="B32" s="6"/>
      <c r="C32" s="6"/>
      <c r="D32" s="54">
        <f>SUM(D28:D31)</f>
        <v>124000</v>
      </c>
    </row>
    <row r="33" spans="1:4" x14ac:dyDescent="0.25">
      <c r="A33" t="s">
        <v>166</v>
      </c>
      <c r="D33" s="3">
        <v>-60000</v>
      </c>
    </row>
    <row r="34" spans="1:4" ht="15.75" thickBot="1" x14ac:dyDescent="0.3">
      <c r="A34" t="s">
        <v>187</v>
      </c>
      <c r="D34" s="9">
        <f>SUM(D32:D33)</f>
        <v>64000</v>
      </c>
    </row>
    <row r="35" spans="1:4" ht="15.75" thickTop="1" x14ac:dyDescent="0.25"/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workbookViewId="0">
      <selection activeCell="C22" sqref="C22"/>
    </sheetView>
  </sheetViews>
  <sheetFormatPr defaultRowHeight="15" x14ac:dyDescent="0.25"/>
  <cols>
    <col min="1" max="1" width="19" bestFit="1" customWidth="1"/>
    <col min="4" max="4" width="12.28515625" bestFit="1" customWidth="1"/>
  </cols>
  <sheetData>
    <row r="2" spans="1:4" x14ac:dyDescent="0.25">
      <c r="A2" s="6" t="s">
        <v>799</v>
      </c>
      <c r="B2" s="6" t="s">
        <v>800</v>
      </c>
    </row>
    <row r="4" spans="1:4" x14ac:dyDescent="0.25">
      <c r="A4" t="s">
        <v>801</v>
      </c>
      <c r="B4" t="s">
        <v>802</v>
      </c>
      <c r="D4" s="3">
        <f>5000*45</f>
        <v>225000</v>
      </c>
    </row>
    <row r="5" spans="1:4" x14ac:dyDescent="0.25">
      <c r="A5" s="6" t="s">
        <v>110</v>
      </c>
      <c r="D5" s="3"/>
    </row>
    <row r="6" spans="1:4" x14ac:dyDescent="0.25">
      <c r="A6" t="s">
        <v>50</v>
      </c>
      <c r="B6" t="s">
        <v>803</v>
      </c>
      <c r="D6" s="3">
        <f>-5000*35</f>
        <v>-175000</v>
      </c>
    </row>
    <row r="7" spans="1:4" x14ac:dyDescent="0.25">
      <c r="A7" t="s">
        <v>804</v>
      </c>
      <c r="D7" s="3">
        <v>-25000</v>
      </c>
    </row>
    <row r="8" spans="1:4" x14ac:dyDescent="0.25">
      <c r="A8" t="s">
        <v>805</v>
      </c>
      <c r="B8" t="s">
        <v>806</v>
      </c>
      <c r="D8" s="3">
        <f>-500*25</f>
        <v>-12500</v>
      </c>
    </row>
    <row r="9" spans="1:4" ht="15.75" thickBot="1" x14ac:dyDescent="0.3">
      <c r="A9" s="52" t="s">
        <v>807</v>
      </c>
      <c r="B9" s="52"/>
      <c r="C9" s="52"/>
      <c r="D9" s="53">
        <f>SUM(D4:D8)</f>
        <v>12500</v>
      </c>
    </row>
    <row r="10" spans="1:4" ht="15.75" thickTop="1" x14ac:dyDescent="0.25"/>
    <row r="11" spans="1:4" x14ac:dyDescent="0.25">
      <c r="A11" t="s">
        <v>808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F21" sqref="F21"/>
    </sheetView>
  </sheetViews>
  <sheetFormatPr defaultRowHeight="15" x14ac:dyDescent="0.25"/>
  <cols>
    <col min="1" max="1" width="15.5703125" bestFit="1" customWidth="1"/>
    <col min="5" max="5" width="11.42578125" bestFit="1" customWidth="1"/>
  </cols>
  <sheetData>
    <row r="2" spans="1:8" x14ac:dyDescent="0.25">
      <c r="A2" s="6" t="s">
        <v>809</v>
      </c>
      <c r="B2" s="6" t="s">
        <v>810</v>
      </c>
    </row>
    <row r="4" spans="1:8" x14ac:dyDescent="0.25">
      <c r="A4" t="s">
        <v>811</v>
      </c>
      <c r="C4" s="11" t="s">
        <v>126</v>
      </c>
      <c r="D4" s="11" t="s">
        <v>127</v>
      </c>
      <c r="E4" s="11" t="s">
        <v>752</v>
      </c>
    </row>
    <row r="5" spans="1:8" x14ac:dyDescent="0.25">
      <c r="A5" t="s">
        <v>109</v>
      </c>
      <c r="C5" s="3">
        <v>40</v>
      </c>
      <c r="D5" s="3">
        <v>40</v>
      </c>
      <c r="E5" s="3">
        <v>40</v>
      </c>
    </row>
    <row r="6" spans="1:8" x14ac:dyDescent="0.25">
      <c r="A6" t="s">
        <v>110</v>
      </c>
      <c r="C6" s="3"/>
      <c r="D6" s="3"/>
    </row>
    <row r="7" spans="1:8" x14ac:dyDescent="0.25">
      <c r="A7" t="s">
        <v>50</v>
      </c>
      <c r="C7" s="3">
        <v>-25</v>
      </c>
      <c r="D7" s="3">
        <v>-25</v>
      </c>
      <c r="E7" s="3">
        <v>-25</v>
      </c>
    </row>
    <row r="8" spans="1:8" x14ac:dyDescent="0.25">
      <c r="A8" t="s">
        <v>759</v>
      </c>
      <c r="C8" s="3">
        <v>0</v>
      </c>
      <c r="D8" s="3">
        <v>-5</v>
      </c>
      <c r="E8" s="3">
        <v>-5</v>
      </c>
    </row>
    <row r="9" spans="1:8" x14ac:dyDescent="0.25">
      <c r="A9" t="s">
        <v>812</v>
      </c>
      <c r="C9" s="3">
        <v>0</v>
      </c>
      <c r="D9" s="3">
        <v>0</v>
      </c>
      <c r="E9" s="3">
        <v>-15</v>
      </c>
    </row>
    <row r="10" spans="1:8" ht="15.75" thickBot="1" x14ac:dyDescent="0.3">
      <c r="A10" t="s">
        <v>187</v>
      </c>
      <c r="C10" s="19">
        <f>SUM(C5:C9)</f>
        <v>15</v>
      </c>
      <c r="D10" s="19">
        <f>SUM(D5:D9)</f>
        <v>10</v>
      </c>
      <c r="E10" s="19">
        <f>SUM(E5:E9)</f>
        <v>-5</v>
      </c>
    </row>
    <row r="11" spans="1:8" ht="15.75" thickTop="1" x14ac:dyDescent="0.25">
      <c r="A11" s="10" t="s">
        <v>764</v>
      </c>
      <c r="B11" s="10"/>
      <c r="C11" s="10" t="s">
        <v>813</v>
      </c>
      <c r="D11" s="10" t="s">
        <v>813</v>
      </c>
      <c r="E11" s="21" t="s">
        <v>814</v>
      </c>
      <c r="F11" s="10"/>
      <c r="G11" s="10"/>
      <c r="H11" s="10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B21" sqref="B21"/>
    </sheetView>
  </sheetViews>
  <sheetFormatPr defaultRowHeight="15" x14ac:dyDescent="0.25"/>
  <cols>
    <col min="1" max="1" width="29" bestFit="1" customWidth="1"/>
    <col min="2" max="2" width="18.140625" bestFit="1" customWidth="1"/>
    <col min="4" max="4" width="12.28515625" bestFit="1" customWidth="1"/>
    <col min="7" max="7" width="11.5703125" bestFit="1" customWidth="1"/>
  </cols>
  <sheetData>
    <row r="2" spans="1:7" x14ac:dyDescent="0.25">
      <c r="A2" s="6" t="s">
        <v>815</v>
      </c>
      <c r="B2" s="6" t="s">
        <v>816</v>
      </c>
    </row>
    <row r="4" spans="1:7" x14ac:dyDescent="0.25">
      <c r="A4" s="8" t="s">
        <v>817</v>
      </c>
    </row>
    <row r="6" spans="1:7" x14ac:dyDescent="0.25">
      <c r="A6" t="s">
        <v>818</v>
      </c>
      <c r="B6" t="s">
        <v>819</v>
      </c>
      <c r="D6" s="3">
        <f>8600000*0.1</f>
        <v>860000</v>
      </c>
    </row>
    <row r="7" spans="1:7" x14ac:dyDescent="0.25">
      <c r="A7" t="s">
        <v>820</v>
      </c>
      <c r="B7" t="s">
        <v>821</v>
      </c>
      <c r="D7" s="45">
        <f>D6-D8</f>
        <v>696600</v>
      </c>
      <c r="G7" s="7">
        <f>+D7-325000</f>
        <v>371600</v>
      </c>
    </row>
    <row r="8" spans="1:7" x14ac:dyDescent="0.25">
      <c r="A8" t="s">
        <v>822</v>
      </c>
      <c r="B8" t="s">
        <v>823</v>
      </c>
      <c r="D8" s="3">
        <f>+D6*0.19</f>
        <v>163400</v>
      </c>
      <c r="E8" s="17">
        <f>3268/8600/2</f>
        <v>0.19</v>
      </c>
    </row>
    <row r="9" spans="1:7" x14ac:dyDescent="0.25">
      <c r="A9" t="s">
        <v>824</v>
      </c>
      <c r="D9" s="3">
        <v>-175000</v>
      </c>
    </row>
    <row r="10" spans="1:7" ht="15.75" thickBot="1" x14ac:dyDescent="0.3">
      <c r="A10" t="s">
        <v>825</v>
      </c>
      <c r="D10" s="9">
        <f>SUM(D8:D9)</f>
        <v>-11600</v>
      </c>
    </row>
    <row r="11" spans="1:7" ht="15.75" thickTop="1" x14ac:dyDescent="0.25"/>
    <row r="12" spans="1:7" x14ac:dyDescent="0.25">
      <c r="A12" t="s">
        <v>826</v>
      </c>
      <c r="D12" s="7">
        <f>+D6</f>
        <v>860000</v>
      </c>
    </row>
    <row r="13" spans="1:7" x14ac:dyDescent="0.25">
      <c r="A13" t="s">
        <v>110</v>
      </c>
    </row>
    <row r="14" spans="1:7" x14ac:dyDescent="0.25">
      <c r="A14" t="s">
        <v>50</v>
      </c>
      <c r="D14" s="3">
        <v>-371600</v>
      </c>
    </row>
    <row r="15" spans="1:7" x14ac:dyDescent="0.25">
      <c r="A15" t="s">
        <v>827</v>
      </c>
      <c r="B15" t="s">
        <v>828</v>
      </c>
      <c r="D15" s="3">
        <f>-325000-125000</f>
        <v>-450000</v>
      </c>
    </row>
    <row r="16" spans="1:7" x14ac:dyDescent="0.25">
      <c r="A16" t="s">
        <v>829</v>
      </c>
      <c r="D16" s="3">
        <v>120000</v>
      </c>
    </row>
    <row r="17" spans="1:4" ht="15.75" thickBot="1" x14ac:dyDescent="0.3">
      <c r="A17" t="s">
        <v>830</v>
      </c>
      <c r="D17" s="9">
        <f>SUM(D12:D16)</f>
        <v>158400</v>
      </c>
    </row>
    <row r="18" spans="1:4" ht="15.75" thickTop="1" x14ac:dyDescent="0.25"/>
    <row r="19" spans="1:4" x14ac:dyDescent="0.25">
      <c r="A19" t="s">
        <v>831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3"/>
  <sheetViews>
    <sheetView workbookViewId="0">
      <selection activeCell="K21" sqref="K21"/>
    </sheetView>
  </sheetViews>
  <sheetFormatPr defaultRowHeight="15" x14ac:dyDescent="0.25"/>
  <cols>
    <col min="1" max="1" width="12" customWidth="1"/>
    <col min="2" max="2" width="11" customWidth="1"/>
    <col min="3" max="4" width="12.28515625" bestFit="1" customWidth="1"/>
    <col min="5" max="5" width="10.5703125" bestFit="1" customWidth="1"/>
    <col min="7" max="7" width="11.42578125" customWidth="1"/>
    <col min="8" max="8" width="9.7109375" customWidth="1"/>
    <col min="13" max="13" width="19.5703125" customWidth="1"/>
    <col min="14" max="14" width="11.5703125" bestFit="1" customWidth="1"/>
    <col min="20" max="20" width="12.140625" bestFit="1" customWidth="1"/>
  </cols>
  <sheetData>
    <row r="2" spans="1:22" x14ac:dyDescent="0.25">
      <c r="A2" s="6" t="s">
        <v>832</v>
      </c>
    </row>
    <row r="3" spans="1:22" x14ac:dyDescent="0.25">
      <c r="M3" t="s">
        <v>833</v>
      </c>
    </row>
    <row r="4" spans="1:22" x14ac:dyDescent="0.25">
      <c r="M4" t="s">
        <v>834</v>
      </c>
      <c r="N4" s="10" t="s">
        <v>835</v>
      </c>
    </row>
    <row r="5" spans="1:22" x14ac:dyDescent="0.25">
      <c r="N5" s="10"/>
      <c r="T5" t="s">
        <v>834</v>
      </c>
      <c r="U5" s="10" t="s">
        <v>835</v>
      </c>
      <c r="V5" t="s">
        <v>836</v>
      </c>
    </row>
    <row r="6" spans="1:22" x14ac:dyDescent="0.25">
      <c r="M6" t="s">
        <v>837</v>
      </c>
      <c r="N6" s="10">
        <v>359</v>
      </c>
      <c r="T6" t="s">
        <v>838</v>
      </c>
      <c r="U6">
        <v>394</v>
      </c>
      <c r="V6">
        <f>U6-N6</f>
        <v>35</v>
      </c>
    </row>
    <row r="7" spans="1:22" x14ac:dyDescent="0.25">
      <c r="N7" s="10"/>
    </row>
    <row r="8" spans="1:22" x14ac:dyDescent="0.25">
      <c r="M8" t="s">
        <v>839</v>
      </c>
      <c r="N8" s="10">
        <v>289</v>
      </c>
      <c r="T8" t="s">
        <v>840</v>
      </c>
      <c r="U8">
        <v>325</v>
      </c>
      <c r="V8">
        <f>U8-N8</f>
        <v>36</v>
      </c>
    </row>
    <row r="9" spans="1:22" x14ac:dyDescent="0.25">
      <c r="N9" s="10"/>
    </row>
    <row r="10" spans="1:22" x14ac:dyDescent="0.25">
      <c r="M10" t="s">
        <v>841</v>
      </c>
      <c r="N10" s="10">
        <v>95</v>
      </c>
      <c r="T10" t="s">
        <v>842</v>
      </c>
      <c r="U10">
        <v>130</v>
      </c>
      <c r="V10">
        <f>U10-N10</f>
        <v>35</v>
      </c>
    </row>
    <row r="12" spans="1:22" x14ac:dyDescent="0.25">
      <c r="G12" t="s">
        <v>843</v>
      </c>
      <c r="P12" t="s">
        <v>50</v>
      </c>
    </row>
    <row r="13" spans="1:22" x14ac:dyDescent="0.25">
      <c r="H13" t="s">
        <v>844</v>
      </c>
      <c r="P13" t="s">
        <v>207</v>
      </c>
    </row>
    <row r="14" spans="1:22" x14ac:dyDescent="0.25">
      <c r="H14" t="s">
        <v>207</v>
      </c>
    </row>
    <row r="16" spans="1:22" x14ac:dyDescent="0.25">
      <c r="G16" t="s">
        <v>845</v>
      </c>
    </row>
    <row r="17" spans="1:14" x14ac:dyDescent="0.25">
      <c r="H17" t="s">
        <v>846</v>
      </c>
    </row>
    <row r="18" spans="1:14" x14ac:dyDescent="0.25">
      <c r="H18" t="s">
        <v>847</v>
      </c>
    </row>
    <row r="20" spans="1:14" x14ac:dyDescent="0.25">
      <c r="A20" t="s">
        <v>140</v>
      </c>
    </row>
    <row r="21" spans="1:14" ht="45" x14ac:dyDescent="0.25">
      <c r="B21" s="172" t="s">
        <v>848</v>
      </c>
      <c r="C21" s="173" t="s">
        <v>849</v>
      </c>
      <c r="D21" s="173" t="s">
        <v>850</v>
      </c>
      <c r="E21" s="174" t="s">
        <v>851</v>
      </c>
      <c r="F21" s="174" t="s">
        <v>852</v>
      </c>
      <c r="G21" s="173" t="s">
        <v>853</v>
      </c>
      <c r="H21" s="173" t="s">
        <v>854</v>
      </c>
      <c r="I21" s="175" t="s">
        <v>764</v>
      </c>
    </row>
    <row r="22" spans="1:14" x14ac:dyDescent="0.25">
      <c r="A22" t="s">
        <v>217</v>
      </c>
      <c r="B22">
        <v>200</v>
      </c>
      <c r="C22">
        <v>100</v>
      </c>
      <c r="D22">
        <f>B22-C22</f>
        <v>100</v>
      </c>
      <c r="E22" s="42">
        <v>3500</v>
      </c>
      <c r="F22" s="157">
        <f>D22*E22</f>
        <v>350000</v>
      </c>
      <c r="G22" s="42">
        <v>-150000</v>
      </c>
      <c r="H22" s="157">
        <f>SUM(F22:G22)</f>
        <v>200000</v>
      </c>
      <c r="I22" s="10" t="s">
        <v>855</v>
      </c>
    </row>
    <row r="23" spans="1:14" x14ac:dyDescent="0.25">
      <c r="A23" t="s">
        <v>218</v>
      </c>
      <c r="B23">
        <v>250</v>
      </c>
      <c r="C23">
        <v>120</v>
      </c>
      <c r="D23">
        <f t="shared" ref="D23:D24" si="0">B23-C23</f>
        <v>130</v>
      </c>
      <c r="E23" s="42">
        <v>2500</v>
      </c>
      <c r="F23" s="157">
        <f t="shared" ref="F23:F24" si="1">D23*E23</f>
        <v>325000</v>
      </c>
      <c r="G23" s="42">
        <v>-175000</v>
      </c>
      <c r="H23" s="157">
        <f t="shared" ref="H23:H24" si="2">SUM(F23:G23)</f>
        <v>150000</v>
      </c>
      <c r="I23" s="10" t="s">
        <v>855</v>
      </c>
    </row>
    <row r="24" spans="1:14" x14ac:dyDescent="0.25">
      <c r="A24" t="s">
        <v>219</v>
      </c>
      <c r="B24">
        <v>250</v>
      </c>
      <c r="C24">
        <v>150</v>
      </c>
      <c r="D24">
        <f t="shared" si="0"/>
        <v>100</v>
      </c>
      <c r="E24" s="42">
        <v>2000</v>
      </c>
      <c r="F24" s="157">
        <f t="shared" si="1"/>
        <v>200000</v>
      </c>
      <c r="G24" s="42">
        <v>-250000</v>
      </c>
      <c r="H24" s="157">
        <f t="shared" si="2"/>
        <v>-50000</v>
      </c>
      <c r="I24" s="10" t="s">
        <v>856</v>
      </c>
    </row>
    <row r="25" spans="1:14" x14ac:dyDescent="0.25">
      <c r="E25" s="157">
        <f>SUM(E22:E24)</f>
        <v>8000</v>
      </c>
      <c r="I25" s="10"/>
      <c r="L25" t="s">
        <v>217</v>
      </c>
      <c r="M25" t="s">
        <v>857</v>
      </c>
      <c r="N25" s="3">
        <f>400000/8000*3500</f>
        <v>175000</v>
      </c>
    </row>
    <row r="26" spans="1:14" x14ac:dyDescent="0.25">
      <c r="A26" t="s">
        <v>144</v>
      </c>
      <c r="L26" t="s">
        <v>218</v>
      </c>
      <c r="M26" t="s">
        <v>858</v>
      </c>
      <c r="N26" s="3">
        <f>400000/8000*2500</f>
        <v>125000</v>
      </c>
    </row>
    <row r="27" spans="1:14" x14ac:dyDescent="0.25">
      <c r="B27" s="43" t="s">
        <v>217</v>
      </c>
      <c r="C27" s="43" t="s">
        <v>218</v>
      </c>
      <c r="D27" s="43" t="s">
        <v>219</v>
      </c>
      <c r="E27" s="6" t="s">
        <v>859</v>
      </c>
      <c r="L27" t="s">
        <v>219</v>
      </c>
      <c r="M27" t="s">
        <v>860</v>
      </c>
      <c r="N27" s="3">
        <f>400000/8000*2000</f>
        <v>100000</v>
      </c>
    </row>
    <row r="28" spans="1:14" x14ac:dyDescent="0.25">
      <c r="A28" t="s">
        <v>109</v>
      </c>
      <c r="B28" s="157">
        <f>B22*E22</f>
        <v>700000</v>
      </c>
      <c r="C28" s="157">
        <f>B23*E23</f>
        <v>625000</v>
      </c>
      <c r="D28" s="157">
        <f>C24*E24</f>
        <v>300000</v>
      </c>
      <c r="E28" s="157">
        <f>SUM(B28:D28)</f>
        <v>1625000</v>
      </c>
      <c r="N28" s="7">
        <f>SUM(N25:N27)</f>
        <v>400000</v>
      </c>
    </row>
    <row r="29" spans="1:14" x14ac:dyDescent="0.25">
      <c r="A29" t="s">
        <v>861</v>
      </c>
      <c r="B29" s="171">
        <f>-N25</f>
        <v>-175000</v>
      </c>
      <c r="C29" s="171">
        <f>-N26</f>
        <v>-125000</v>
      </c>
      <c r="D29" s="171">
        <f>-N27</f>
        <v>-100000</v>
      </c>
      <c r="E29" s="171">
        <f>SUM(B29:D29)</f>
        <v>-400000</v>
      </c>
    </row>
    <row r="30" spans="1:14" x14ac:dyDescent="0.25">
      <c r="B30" s="157">
        <f>SUM(B28:B29)</f>
        <v>525000</v>
      </c>
      <c r="C30" s="157">
        <f t="shared" ref="C30:D30" si="3">SUM(C28:C29)</f>
        <v>500000</v>
      </c>
      <c r="D30" s="157">
        <f t="shared" si="3"/>
        <v>200000</v>
      </c>
      <c r="E30" s="157">
        <f>SUM(E28:E29)</f>
        <v>1225000</v>
      </c>
    </row>
    <row r="31" spans="1:14" x14ac:dyDescent="0.25">
      <c r="A31" t="s">
        <v>862</v>
      </c>
      <c r="B31" s="157">
        <f>+G22</f>
        <v>-150000</v>
      </c>
      <c r="C31" s="157">
        <f>+G23</f>
        <v>-175000</v>
      </c>
      <c r="D31" s="3">
        <v>0</v>
      </c>
      <c r="E31" s="157">
        <f>SUM(B31:D31)</f>
        <v>-325000</v>
      </c>
    </row>
    <row r="32" spans="1:14" ht="15.75" thickBot="1" x14ac:dyDescent="0.3">
      <c r="A32" t="s">
        <v>187</v>
      </c>
      <c r="B32" s="158">
        <f>SUM(B30:B31)</f>
        <v>375000</v>
      </c>
      <c r="C32" s="158">
        <f t="shared" ref="C32:E32" si="4">SUM(C30:C31)</f>
        <v>325000</v>
      </c>
      <c r="D32" s="158">
        <f t="shared" si="4"/>
        <v>200000</v>
      </c>
      <c r="E32" s="158">
        <f t="shared" si="4"/>
        <v>900000</v>
      </c>
    </row>
    <row r="33" ht="15.75" thickTop="1" x14ac:dyDescent="0.25"/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E22" sqref="E22"/>
    </sheetView>
  </sheetViews>
  <sheetFormatPr defaultRowHeight="15" x14ac:dyDescent="0.25"/>
  <cols>
    <col min="1" max="1" width="15" customWidth="1"/>
    <col min="2" max="2" width="24.5703125" bestFit="1" customWidth="1"/>
    <col min="3" max="3" width="10.5703125" bestFit="1" customWidth="1"/>
    <col min="4" max="4" width="12.28515625" bestFit="1" customWidth="1"/>
  </cols>
  <sheetData>
    <row r="2" spans="1:4" x14ac:dyDescent="0.25">
      <c r="A2" s="6" t="s">
        <v>863</v>
      </c>
    </row>
    <row r="4" spans="1:4" x14ac:dyDescent="0.25">
      <c r="A4" t="s">
        <v>801</v>
      </c>
      <c r="B4" t="s">
        <v>864</v>
      </c>
      <c r="D4" s="3">
        <f>40*8000</f>
        <v>320000</v>
      </c>
    </row>
    <row r="5" spans="1:4" x14ac:dyDescent="0.25">
      <c r="A5" s="6" t="s">
        <v>110</v>
      </c>
    </row>
    <row r="6" spans="1:4" x14ac:dyDescent="0.25">
      <c r="A6" t="s">
        <v>111</v>
      </c>
      <c r="B6" t="s">
        <v>865</v>
      </c>
      <c r="C6" s="3">
        <f>120000/10000*0.95*8000</f>
        <v>91199.999999999985</v>
      </c>
    </row>
    <row r="7" spans="1:4" x14ac:dyDescent="0.25">
      <c r="A7" t="s">
        <v>112</v>
      </c>
      <c r="B7" t="s">
        <v>866</v>
      </c>
      <c r="C7" s="3">
        <f>100000/10000*1.2*8000</f>
        <v>96000</v>
      </c>
    </row>
    <row r="8" spans="1:4" x14ac:dyDescent="0.25">
      <c r="A8" t="s">
        <v>312</v>
      </c>
      <c r="B8" t="s">
        <v>867</v>
      </c>
      <c r="C8" s="3">
        <f>20000/10000*8000</f>
        <v>16000</v>
      </c>
    </row>
    <row r="9" spans="1:4" x14ac:dyDescent="0.25">
      <c r="A9" t="s">
        <v>759</v>
      </c>
      <c r="C9" s="3">
        <v>25000</v>
      </c>
      <c r="D9" s="7">
        <f>-SUM(C6:C9)</f>
        <v>-228200</v>
      </c>
    </row>
    <row r="10" spans="1:4" ht="15.75" thickBot="1" x14ac:dyDescent="0.3">
      <c r="A10" s="10" t="s">
        <v>854</v>
      </c>
      <c r="B10" s="10"/>
      <c r="C10" s="10"/>
      <c r="D10" s="154">
        <f>SUM(D4:D9)</f>
        <v>91800</v>
      </c>
    </row>
    <row r="11" spans="1:4" ht="15.75" thickTop="1" x14ac:dyDescent="0.25"/>
    <row r="12" spans="1:4" x14ac:dyDescent="0.25">
      <c r="A12" t="s">
        <v>868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5"/>
  <sheetViews>
    <sheetView workbookViewId="0">
      <selection activeCell="F23" sqref="F23"/>
    </sheetView>
  </sheetViews>
  <sheetFormatPr defaultRowHeight="15" x14ac:dyDescent="0.25"/>
  <cols>
    <col min="1" max="1" width="9" customWidth="1"/>
    <col min="2" max="2" width="13.140625" customWidth="1"/>
    <col min="3" max="3" width="15.5703125" customWidth="1"/>
    <col min="4" max="4" width="14.140625" customWidth="1"/>
    <col min="5" max="5" width="16.7109375" customWidth="1"/>
    <col min="6" max="6" width="14" bestFit="1" customWidth="1"/>
    <col min="9" max="9" width="13.28515625" customWidth="1"/>
    <col min="10" max="10" width="14.5703125" customWidth="1"/>
    <col min="11" max="11" width="11.7109375" customWidth="1"/>
    <col min="12" max="12" width="16.7109375" bestFit="1" customWidth="1"/>
    <col min="13" max="13" width="14" bestFit="1" customWidth="1"/>
    <col min="14" max="14" width="11.28515625" bestFit="1" customWidth="1"/>
  </cols>
  <sheetData>
    <row r="3" spans="1:13" x14ac:dyDescent="0.25">
      <c r="A3" s="6" t="s">
        <v>869</v>
      </c>
      <c r="F3" t="s">
        <v>870</v>
      </c>
      <c r="L3" t="s">
        <v>871</v>
      </c>
    </row>
    <row r="4" spans="1:13" x14ac:dyDescent="0.25">
      <c r="L4" s="156" t="s">
        <v>872</v>
      </c>
    </row>
    <row r="5" spans="1:13" x14ac:dyDescent="0.25">
      <c r="F5" t="s">
        <v>673</v>
      </c>
      <c r="G5" s="3">
        <v>400</v>
      </c>
    </row>
    <row r="6" spans="1:13" x14ac:dyDescent="0.25">
      <c r="A6" s="38"/>
      <c r="F6" t="s">
        <v>873</v>
      </c>
      <c r="G6" s="3">
        <v>300</v>
      </c>
    </row>
    <row r="7" spans="1:13" x14ac:dyDescent="0.25">
      <c r="F7" t="s">
        <v>312</v>
      </c>
      <c r="G7" s="3">
        <v>100</v>
      </c>
    </row>
    <row r="8" spans="1:13" ht="15.75" thickBot="1" x14ac:dyDescent="0.3">
      <c r="G8" s="155">
        <f>SUM(G5:G7)</f>
        <v>800</v>
      </c>
    </row>
    <row r="9" spans="1:13" ht="15.75" thickTop="1" x14ac:dyDescent="0.25"/>
    <row r="11" spans="1:13" x14ac:dyDescent="0.25">
      <c r="K11" t="s">
        <v>874</v>
      </c>
      <c r="M11" s="3">
        <v>12000</v>
      </c>
    </row>
    <row r="12" spans="1:13" x14ac:dyDescent="0.25">
      <c r="K12" t="s">
        <v>875</v>
      </c>
      <c r="M12" s="3">
        <v>16000</v>
      </c>
    </row>
    <row r="14" spans="1:13" x14ac:dyDescent="0.25">
      <c r="B14" t="s">
        <v>876</v>
      </c>
      <c r="E14" s="3">
        <v>12000</v>
      </c>
      <c r="F14" s="149">
        <v>1</v>
      </c>
      <c r="I14" t="s">
        <v>240</v>
      </c>
      <c r="J14" s="3" t="s">
        <v>877</v>
      </c>
      <c r="M14" s="3">
        <v>2800</v>
      </c>
    </row>
    <row r="15" spans="1:13" x14ac:dyDescent="0.25">
      <c r="B15" t="s">
        <v>875</v>
      </c>
      <c r="E15" s="3">
        <v>16000</v>
      </c>
      <c r="I15" s="62" t="s">
        <v>241</v>
      </c>
      <c r="J15" s="63" t="s">
        <v>877</v>
      </c>
      <c r="K15" s="62" t="s">
        <v>878</v>
      </c>
      <c r="M15" s="3">
        <v>800</v>
      </c>
    </row>
    <row r="16" spans="1:13" x14ac:dyDescent="0.25">
      <c r="I16" s="62" t="s">
        <v>192</v>
      </c>
      <c r="J16" s="63">
        <v>2000</v>
      </c>
      <c r="K16" s="62"/>
      <c r="M16" s="3">
        <v>2000</v>
      </c>
    </row>
    <row r="17" spans="1:15" x14ac:dyDescent="0.25">
      <c r="B17" t="s">
        <v>105</v>
      </c>
      <c r="E17" s="3">
        <v>2000</v>
      </c>
      <c r="F17" t="s">
        <v>879</v>
      </c>
    </row>
    <row r="18" spans="1:15" x14ac:dyDescent="0.25">
      <c r="B18" t="s">
        <v>880</v>
      </c>
      <c r="E18" t="s">
        <v>881</v>
      </c>
    </row>
    <row r="19" spans="1:15" x14ac:dyDescent="0.25">
      <c r="B19" t="s">
        <v>882</v>
      </c>
      <c r="E19" t="s">
        <v>883</v>
      </c>
    </row>
    <row r="21" spans="1:15" x14ac:dyDescent="0.25">
      <c r="B21" t="s">
        <v>207</v>
      </c>
      <c r="C21" t="s">
        <v>884</v>
      </c>
      <c r="E21" s="3">
        <f>+E23*0.2</f>
        <v>480000</v>
      </c>
    </row>
    <row r="22" spans="1:15" x14ac:dyDescent="0.25">
      <c r="C22" s="10" t="s">
        <v>885</v>
      </c>
      <c r="D22" s="10"/>
      <c r="E22" s="21">
        <f>+E23*0.8</f>
        <v>1920000</v>
      </c>
    </row>
    <row r="23" spans="1:15" x14ac:dyDescent="0.25">
      <c r="C23" s="149">
        <v>1</v>
      </c>
      <c r="D23" t="s">
        <v>886</v>
      </c>
      <c r="E23" s="3">
        <f>200*12000</f>
        <v>2400000</v>
      </c>
    </row>
    <row r="25" spans="1:15" x14ac:dyDescent="0.25">
      <c r="A25" s="6" t="s">
        <v>140</v>
      </c>
      <c r="B25" s="13" t="s">
        <v>887</v>
      </c>
      <c r="K25" s="41" t="s">
        <v>770</v>
      </c>
      <c r="L25" s="41"/>
      <c r="M25" s="41" t="s">
        <v>888</v>
      </c>
    </row>
    <row r="26" spans="1:15" x14ac:dyDescent="0.25">
      <c r="I26" t="s">
        <v>109</v>
      </c>
      <c r="J26" t="s">
        <v>889</v>
      </c>
      <c r="K26" s="42">
        <f>12000*2800</f>
        <v>33600000</v>
      </c>
      <c r="L26" t="s">
        <v>890</v>
      </c>
      <c r="M26" s="42">
        <f>16000*2800</f>
        <v>44800000</v>
      </c>
    </row>
    <row r="27" spans="1:15" x14ac:dyDescent="0.25">
      <c r="B27" s="8" t="s">
        <v>891</v>
      </c>
      <c r="I27" t="s">
        <v>241</v>
      </c>
      <c r="J27" t="s">
        <v>892</v>
      </c>
      <c r="K27" s="42">
        <f>-12000*800</f>
        <v>-9600000</v>
      </c>
      <c r="L27" t="s">
        <v>893</v>
      </c>
      <c r="M27" s="42">
        <f>-16000*1600</f>
        <v>-25600000</v>
      </c>
    </row>
    <row r="28" spans="1:15" x14ac:dyDescent="0.25">
      <c r="B28" t="s">
        <v>894</v>
      </c>
      <c r="D28" t="s">
        <v>895</v>
      </c>
      <c r="F28" s="42">
        <f>800*12000</f>
        <v>9600000</v>
      </c>
      <c r="G28" t="s">
        <v>896</v>
      </c>
    </row>
    <row r="29" spans="1:15" x14ac:dyDescent="0.25">
      <c r="B29" t="s">
        <v>897</v>
      </c>
      <c r="F29" s="157">
        <f>-E22</f>
        <v>-1920000</v>
      </c>
      <c r="G29" t="s">
        <v>187</v>
      </c>
      <c r="I29" t="s">
        <v>192</v>
      </c>
      <c r="K29" s="157">
        <f>SUM(K26:K28)</f>
        <v>24000000</v>
      </c>
      <c r="M29" s="157">
        <f>SUM(M26:M28)</f>
        <v>19200000</v>
      </c>
    </row>
    <row r="30" spans="1:15" x14ac:dyDescent="0.25">
      <c r="F30" s="157">
        <f>SUM(F28:F29)</f>
        <v>7680000</v>
      </c>
      <c r="G30" t="s">
        <v>896</v>
      </c>
      <c r="I30" t="s">
        <v>166</v>
      </c>
      <c r="K30" s="42">
        <v>-1920000</v>
      </c>
      <c r="M30" s="3">
        <v>0</v>
      </c>
    </row>
    <row r="31" spans="1:15" x14ac:dyDescent="0.25">
      <c r="B31" s="8" t="s">
        <v>898</v>
      </c>
      <c r="F31" s="157"/>
    </row>
    <row r="32" spans="1:15" ht="15.75" thickBot="1" x14ac:dyDescent="0.3">
      <c r="B32" t="s">
        <v>899</v>
      </c>
      <c r="D32" t="s">
        <v>900</v>
      </c>
      <c r="F32" s="42">
        <f>-1200*4000</f>
        <v>-4800000</v>
      </c>
      <c r="G32" t="s">
        <v>187</v>
      </c>
      <c r="I32" t="s">
        <v>187</v>
      </c>
      <c r="K32" s="158">
        <f>SUM(K29:K30)</f>
        <v>22080000</v>
      </c>
      <c r="M32" s="158">
        <f>SUM(M29:M30)</f>
        <v>19200000</v>
      </c>
      <c r="N32" s="159">
        <f>K32-M32</f>
        <v>2880000</v>
      </c>
      <c r="O32" s="10" t="s">
        <v>896</v>
      </c>
    </row>
    <row r="33" spans="1:15" ht="16.5" thickTop="1" thickBot="1" x14ac:dyDescent="0.3">
      <c r="B33" s="10" t="s">
        <v>901</v>
      </c>
      <c r="C33" s="10"/>
      <c r="D33" s="10"/>
      <c r="E33" s="10"/>
      <c r="F33" s="160">
        <f>SUM(F30:F32)</f>
        <v>2880000</v>
      </c>
      <c r="G33" s="10" t="s">
        <v>896</v>
      </c>
    </row>
    <row r="34" spans="1:15" ht="15.75" thickTop="1" x14ac:dyDescent="0.25"/>
    <row r="35" spans="1:15" x14ac:dyDescent="0.25">
      <c r="A35" t="s">
        <v>144</v>
      </c>
      <c r="B35" s="13" t="s">
        <v>902</v>
      </c>
    </row>
    <row r="36" spans="1:15" x14ac:dyDescent="0.25">
      <c r="B36" t="s">
        <v>903</v>
      </c>
      <c r="E36" t="s">
        <v>904</v>
      </c>
      <c r="F36" s="42">
        <f>2000*300</f>
        <v>600000</v>
      </c>
      <c r="G36" t="s">
        <v>896</v>
      </c>
      <c r="K36" s="41" t="s">
        <v>770</v>
      </c>
      <c r="L36" s="41"/>
      <c r="M36" s="41" t="s">
        <v>888</v>
      </c>
    </row>
    <row r="37" spans="1:15" x14ac:dyDescent="0.25">
      <c r="B37" t="s">
        <v>905</v>
      </c>
      <c r="F37" s="42">
        <v>2000000</v>
      </c>
      <c r="G37" t="s">
        <v>896</v>
      </c>
      <c r="I37" t="s">
        <v>109</v>
      </c>
      <c r="J37" t="s">
        <v>889</v>
      </c>
      <c r="K37" s="42">
        <f>12000*2800</f>
        <v>33600000</v>
      </c>
      <c r="L37" t="s">
        <v>890</v>
      </c>
      <c r="M37" s="42">
        <f>16000*2800</f>
        <v>44800000</v>
      </c>
    </row>
    <row r="38" spans="1:15" x14ac:dyDescent="0.25">
      <c r="B38" t="s">
        <v>906</v>
      </c>
      <c r="E38" t="s">
        <v>907</v>
      </c>
      <c r="F38" s="42">
        <f>2000*800</f>
        <v>1600000</v>
      </c>
      <c r="G38" t="s">
        <v>896</v>
      </c>
      <c r="I38" t="s">
        <v>241</v>
      </c>
      <c r="J38" t="s">
        <v>892</v>
      </c>
      <c r="K38" s="42">
        <f>-12000*800</f>
        <v>-9600000</v>
      </c>
      <c r="L38" t="s">
        <v>892</v>
      </c>
      <c r="M38" s="42">
        <f>-12000*800</f>
        <v>-9600000</v>
      </c>
    </row>
    <row r="39" spans="1:15" x14ac:dyDescent="0.25">
      <c r="B39" t="s">
        <v>908</v>
      </c>
      <c r="E39" t="s">
        <v>909</v>
      </c>
      <c r="F39" s="42">
        <f>-4000*2000</f>
        <v>-8000000</v>
      </c>
      <c r="G39" t="s">
        <v>187</v>
      </c>
      <c r="L39" t="s">
        <v>910</v>
      </c>
      <c r="M39" s="42">
        <f>-2000*1100</f>
        <v>-2200000</v>
      </c>
    </row>
    <row r="40" spans="1:15" ht="15.75" thickBot="1" x14ac:dyDescent="0.3">
      <c r="B40" s="10" t="s">
        <v>911</v>
      </c>
      <c r="C40" s="10"/>
      <c r="D40" s="10"/>
      <c r="E40" s="10"/>
      <c r="F40" s="160">
        <f>SUM(F36:F39)</f>
        <v>-3800000</v>
      </c>
      <c r="G40" s="10" t="s">
        <v>187</v>
      </c>
      <c r="L40" t="s">
        <v>912</v>
      </c>
      <c r="M40" s="42">
        <f>-2000*1600</f>
        <v>-3200000</v>
      </c>
    </row>
    <row r="41" spans="1:15" ht="15.75" thickTop="1" x14ac:dyDescent="0.25">
      <c r="I41" t="s">
        <v>192</v>
      </c>
      <c r="K41" s="157">
        <f>SUM(K37:K39)</f>
        <v>24000000</v>
      </c>
      <c r="M41" s="157">
        <f>SUM(M37:M40)</f>
        <v>29800000</v>
      </c>
    </row>
    <row r="42" spans="1:15" x14ac:dyDescent="0.25">
      <c r="B42" s="162" t="s">
        <v>913</v>
      </c>
      <c r="I42" t="s">
        <v>166</v>
      </c>
      <c r="K42" s="42">
        <v>-1920000</v>
      </c>
      <c r="M42" s="42">
        <f>+K42</f>
        <v>-1920000</v>
      </c>
    </row>
    <row r="43" spans="1:15" x14ac:dyDescent="0.25">
      <c r="B43" t="s">
        <v>914</v>
      </c>
      <c r="E43" s="3">
        <v>2000</v>
      </c>
      <c r="M43" s="42">
        <v>-2000000</v>
      </c>
    </row>
    <row r="44" spans="1:15" ht="15.75" thickBot="1" x14ac:dyDescent="0.3">
      <c r="B44" t="s">
        <v>915</v>
      </c>
      <c r="E44" s="3">
        <v>-300</v>
      </c>
      <c r="I44" t="s">
        <v>187</v>
      </c>
      <c r="K44" s="158">
        <f>SUM(K41:K42)</f>
        <v>22080000</v>
      </c>
      <c r="M44" s="158">
        <f>SUM(M41:M43)</f>
        <v>25880000</v>
      </c>
      <c r="N44" s="159">
        <f>K44-M44</f>
        <v>-3800000</v>
      </c>
      <c r="O44" t="s">
        <v>187</v>
      </c>
    </row>
    <row r="45" spans="1:15" ht="15.75" thickTop="1" x14ac:dyDescent="0.25">
      <c r="B45" t="s">
        <v>916</v>
      </c>
      <c r="E45" s="7">
        <f>SUM(E43:E44)</f>
        <v>1700</v>
      </c>
    </row>
    <row r="46" spans="1:15" x14ac:dyDescent="0.25">
      <c r="B46" t="s">
        <v>917</v>
      </c>
      <c r="E46" t="s">
        <v>918</v>
      </c>
      <c r="F46" s="3">
        <f>1700*2000</f>
        <v>3400000</v>
      </c>
    </row>
    <row r="47" spans="1:15" x14ac:dyDescent="0.25">
      <c r="B47" t="s">
        <v>759</v>
      </c>
      <c r="F47" s="15">
        <v>-2000000</v>
      </c>
    </row>
    <row r="48" spans="1:15" x14ac:dyDescent="0.25">
      <c r="B48" t="s">
        <v>919</v>
      </c>
      <c r="F48" s="7">
        <f>SUM(F46:F47)</f>
        <v>1400000</v>
      </c>
    </row>
    <row r="50" spans="1:15" x14ac:dyDescent="0.25">
      <c r="B50" t="s">
        <v>914</v>
      </c>
      <c r="E50" s="3">
        <v>2000</v>
      </c>
    </row>
    <row r="51" spans="1:15" x14ac:dyDescent="0.25">
      <c r="B51" t="s">
        <v>920</v>
      </c>
      <c r="D51" t="s">
        <v>921</v>
      </c>
      <c r="E51" s="3">
        <v>-800</v>
      </c>
    </row>
    <row r="52" spans="1:15" x14ac:dyDescent="0.25">
      <c r="B52" t="s">
        <v>916</v>
      </c>
      <c r="E52" s="7">
        <f>SUM(E50:E51)</f>
        <v>1200</v>
      </c>
    </row>
    <row r="53" spans="1:15" x14ac:dyDescent="0.25">
      <c r="B53" t="s">
        <v>917</v>
      </c>
      <c r="E53" t="s">
        <v>922</v>
      </c>
      <c r="F53" s="3">
        <f>1200*2000</f>
        <v>2400000</v>
      </c>
    </row>
    <row r="54" spans="1:15" ht="15.75" thickBot="1" x14ac:dyDescent="0.3">
      <c r="B54" s="10" t="s">
        <v>911</v>
      </c>
      <c r="C54" s="10"/>
      <c r="D54" s="10"/>
      <c r="E54" s="10"/>
      <c r="F54" s="160">
        <f>SUM(F48:F53)</f>
        <v>3800000</v>
      </c>
      <c r="G54" s="10" t="s">
        <v>187</v>
      </c>
    </row>
    <row r="55" spans="1:15" ht="15.75" thickTop="1" x14ac:dyDescent="0.25"/>
    <row r="56" spans="1:15" x14ac:dyDescent="0.25">
      <c r="A56" t="s">
        <v>148</v>
      </c>
      <c r="B56" s="13" t="s">
        <v>923</v>
      </c>
      <c r="K56" s="41" t="s">
        <v>770</v>
      </c>
      <c r="L56" s="41"/>
      <c r="M56" s="41" t="s">
        <v>888</v>
      </c>
    </row>
    <row r="57" spans="1:15" x14ac:dyDescent="0.25">
      <c r="B57" t="s">
        <v>914</v>
      </c>
      <c r="E57" s="3">
        <v>2000</v>
      </c>
      <c r="I57" t="s">
        <v>109</v>
      </c>
      <c r="J57" t="s">
        <v>889</v>
      </c>
      <c r="K57" s="42">
        <f>12000*2800</f>
        <v>33600000</v>
      </c>
      <c r="L57" t="s">
        <v>890</v>
      </c>
      <c r="M57" s="42">
        <f>16000*2800</f>
        <v>44800000</v>
      </c>
    </row>
    <row r="58" spans="1:15" x14ac:dyDescent="0.25">
      <c r="B58" t="s">
        <v>924</v>
      </c>
      <c r="D58" t="s">
        <v>921</v>
      </c>
      <c r="E58" s="3">
        <v>-800</v>
      </c>
      <c r="I58" t="s">
        <v>241</v>
      </c>
      <c r="J58" t="s">
        <v>892</v>
      </c>
      <c r="K58" s="42">
        <f>-12000*800</f>
        <v>-9600000</v>
      </c>
      <c r="L58" t="s">
        <v>892</v>
      </c>
      <c r="M58" s="42">
        <f>-12000*800</f>
        <v>-9600000</v>
      </c>
    </row>
    <row r="59" spans="1:15" x14ac:dyDescent="0.25">
      <c r="B59" t="s">
        <v>916</v>
      </c>
      <c r="E59" s="7">
        <f>SUM(E57:E58)</f>
        <v>1200</v>
      </c>
      <c r="L59" t="s">
        <v>925</v>
      </c>
      <c r="M59" s="42">
        <f>-4000*1600</f>
        <v>-6400000</v>
      </c>
    </row>
    <row r="60" spans="1:15" ht="17.25" x14ac:dyDescent="0.4">
      <c r="B60" t="s">
        <v>164</v>
      </c>
      <c r="E60" t="s">
        <v>926</v>
      </c>
      <c r="F60" s="161">
        <f>1200*4000</f>
        <v>4800000</v>
      </c>
      <c r="I60" t="s">
        <v>192</v>
      </c>
      <c r="K60" s="157">
        <f>SUM(K57:K59)</f>
        <v>24000000</v>
      </c>
      <c r="M60" s="157">
        <f>SUM(M57:M59)</f>
        <v>28800000</v>
      </c>
    </row>
    <row r="61" spans="1:15" x14ac:dyDescent="0.25">
      <c r="I61" t="s">
        <v>166</v>
      </c>
      <c r="K61" s="42">
        <v>-1920000</v>
      </c>
      <c r="M61" s="42">
        <f>+K61</f>
        <v>-1920000</v>
      </c>
    </row>
    <row r="62" spans="1:15" x14ac:dyDescent="0.25">
      <c r="M62" s="42"/>
    </row>
    <row r="63" spans="1:15" ht="15.75" thickBot="1" x14ac:dyDescent="0.3">
      <c r="I63" t="s">
        <v>187</v>
      </c>
      <c r="K63" s="158">
        <f>SUM(K60:K61)</f>
        <v>22080000</v>
      </c>
      <c r="M63" s="158">
        <f>SUM(M60:M62)</f>
        <v>26880000</v>
      </c>
      <c r="N63" s="159">
        <f>K63-M63</f>
        <v>-4800000</v>
      </c>
      <c r="O63" t="s">
        <v>187</v>
      </c>
    </row>
    <row r="64" spans="1:15" ht="15.75" thickTop="1" x14ac:dyDescent="0.25"/>
    <row r="65" spans="2:2" x14ac:dyDescent="0.25">
      <c r="B65" t="s">
        <v>927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workbookViewId="0">
      <selection activeCell="F23" sqref="F23"/>
    </sheetView>
  </sheetViews>
  <sheetFormatPr defaultRowHeight="15" x14ac:dyDescent="0.25"/>
  <cols>
    <col min="1" max="1" width="35.28515625" customWidth="1"/>
    <col min="2" max="2" width="26.85546875" bestFit="1" customWidth="1"/>
    <col min="3" max="3" width="14.28515625" bestFit="1" customWidth="1"/>
    <col min="5" max="5" width="16.7109375" customWidth="1"/>
    <col min="6" max="6" width="14.42578125" bestFit="1" customWidth="1"/>
    <col min="7" max="7" width="10.5703125" bestFit="1" customWidth="1"/>
    <col min="8" max="8" width="9.7109375" bestFit="1" customWidth="1"/>
  </cols>
  <sheetData>
    <row r="2" spans="1:9" x14ac:dyDescent="0.25">
      <c r="A2" s="6" t="s">
        <v>928</v>
      </c>
    </row>
    <row r="4" spans="1:9" x14ac:dyDescent="0.25">
      <c r="A4" t="s">
        <v>929</v>
      </c>
      <c r="B4" t="s">
        <v>930</v>
      </c>
      <c r="C4" s="3">
        <f>60*365</f>
        <v>21900</v>
      </c>
      <c r="E4" t="s">
        <v>931</v>
      </c>
      <c r="F4" t="s">
        <v>932</v>
      </c>
      <c r="I4" t="s">
        <v>933</v>
      </c>
    </row>
    <row r="5" spans="1:9" x14ac:dyDescent="0.25">
      <c r="A5" t="s">
        <v>934</v>
      </c>
      <c r="C5" s="3">
        <v>16000</v>
      </c>
      <c r="D5" s="18">
        <f>C5/C4</f>
        <v>0.73059360730593603</v>
      </c>
    </row>
    <row r="7" spans="1:9" x14ac:dyDescent="0.25">
      <c r="A7" t="s">
        <v>140</v>
      </c>
    </row>
    <row r="8" spans="1:9" ht="17.25" x14ac:dyDescent="0.4">
      <c r="A8" t="s">
        <v>935</v>
      </c>
      <c r="B8" t="s">
        <v>936</v>
      </c>
      <c r="C8" s="3">
        <f>96000000*0.25</f>
        <v>24000000</v>
      </c>
      <c r="E8" t="s">
        <v>109</v>
      </c>
      <c r="F8" s="3">
        <f>SUM(F9:F10)</f>
        <v>64000000</v>
      </c>
      <c r="G8" s="3">
        <v>16000</v>
      </c>
      <c r="H8" s="161">
        <f>F8/G8</f>
        <v>4000</v>
      </c>
    </row>
    <row r="9" spans="1:9" x14ac:dyDescent="0.25">
      <c r="A9" t="s">
        <v>937</v>
      </c>
      <c r="C9" s="3">
        <v>35200000</v>
      </c>
      <c r="E9" t="s">
        <v>50</v>
      </c>
      <c r="F9" s="3">
        <f>300*16000</f>
        <v>4800000</v>
      </c>
      <c r="G9" s="3"/>
      <c r="H9" s="3"/>
    </row>
    <row r="10" spans="1:9" x14ac:dyDescent="0.25">
      <c r="A10" t="s">
        <v>938</v>
      </c>
      <c r="C10" s="7">
        <f>SUM(C8:C9)</f>
        <v>59200000</v>
      </c>
      <c r="E10" t="s">
        <v>192</v>
      </c>
      <c r="F10" s="3">
        <f>SUM(F11:F12)</f>
        <v>59200000</v>
      </c>
      <c r="G10" s="3"/>
      <c r="H10" s="3"/>
    </row>
    <row r="11" spans="1:9" x14ac:dyDescent="0.25">
      <c r="A11" t="s">
        <v>939</v>
      </c>
      <c r="C11" s="7">
        <f>+C5</f>
        <v>16000</v>
      </c>
      <c r="E11" t="s">
        <v>207</v>
      </c>
      <c r="F11" s="3">
        <f>+C9</f>
        <v>35200000</v>
      </c>
      <c r="G11" s="3"/>
      <c r="H11" s="3"/>
    </row>
    <row r="12" spans="1:9" x14ac:dyDescent="0.25">
      <c r="A12" t="s">
        <v>940</v>
      </c>
      <c r="C12" s="3">
        <f>C10/C11</f>
        <v>3700</v>
      </c>
      <c r="E12" t="s">
        <v>187</v>
      </c>
      <c r="F12" s="3">
        <f>+C8</f>
        <v>24000000</v>
      </c>
      <c r="G12" s="3"/>
      <c r="H12" s="3"/>
    </row>
    <row r="13" spans="1:9" x14ac:dyDescent="0.25">
      <c r="A13" t="s">
        <v>941</v>
      </c>
      <c r="C13" s="3">
        <v>300</v>
      </c>
    </row>
    <row r="14" spans="1:9" ht="15.75" thickBot="1" x14ac:dyDescent="0.3">
      <c r="A14" s="10" t="s">
        <v>942</v>
      </c>
      <c r="B14" s="10"/>
      <c r="C14" s="163">
        <f>SUM(C12:C13)</f>
        <v>4000</v>
      </c>
    </row>
    <row r="15" spans="1:9" ht="15.75" thickTop="1" x14ac:dyDescent="0.25"/>
    <row r="17" spans="1:4" x14ac:dyDescent="0.25">
      <c r="A17" t="s">
        <v>943</v>
      </c>
    </row>
    <row r="18" spans="1:4" x14ac:dyDescent="0.25">
      <c r="A18" t="s">
        <v>50</v>
      </c>
      <c r="C18" s="3">
        <v>300</v>
      </c>
    </row>
    <row r="19" spans="1:4" x14ac:dyDescent="0.25">
      <c r="A19" t="s">
        <v>207</v>
      </c>
      <c r="B19" t="s">
        <v>944</v>
      </c>
      <c r="C19" s="3">
        <f>+C9/16000</f>
        <v>2200</v>
      </c>
    </row>
    <row r="20" spans="1:4" x14ac:dyDescent="0.25">
      <c r="C20" s="7">
        <f>SUM(C18:C19)</f>
        <v>2500</v>
      </c>
    </row>
    <row r="21" spans="1:4" ht="15.75" thickBot="1" x14ac:dyDescent="0.3">
      <c r="A21" t="s">
        <v>945</v>
      </c>
      <c r="C21" s="3">
        <v>1500</v>
      </c>
      <c r="D21" s="164">
        <f>C21/C20</f>
        <v>0.6</v>
      </c>
    </row>
    <row r="22" spans="1:4" ht="15.75" thickTop="1" x14ac:dyDescent="0.25">
      <c r="A22" t="s">
        <v>131</v>
      </c>
      <c r="C22" s="3">
        <v>4000</v>
      </c>
    </row>
    <row r="25" spans="1:4" x14ac:dyDescent="0.25">
      <c r="A25" t="s">
        <v>144</v>
      </c>
    </row>
    <row r="26" spans="1:4" x14ac:dyDescent="0.25">
      <c r="A26" t="s">
        <v>914</v>
      </c>
      <c r="B26" t="s">
        <v>946</v>
      </c>
      <c r="C26" s="7">
        <f>+C10</f>
        <v>59200000</v>
      </c>
    </row>
    <row r="28" spans="1:4" x14ac:dyDescent="0.25">
      <c r="A28" s="13" t="s">
        <v>947</v>
      </c>
    </row>
    <row r="29" spans="1:4" x14ac:dyDescent="0.25">
      <c r="A29" t="s">
        <v>948</v>
      </c>
      <c r="B29" t="s">
        <v>949</v>
      </c>
      <c r="C29" s="3">
        <f>4000*0.9</f>
        <v>3600</v>
      </c>
    </row>
    <row r="30" spans="1:4" x14ac:dyDescent="0.25">
      <c r="A30" t="s">
        <v>132</v>
      </c>
      <c r="C30" s="3">
        <v>-300</v>
      </c>
    </row>
    <row r="31" spans="1:4" x14ac:dyDescent="0.25">
      <c r="A31" t="s">
        <v>950</v>
      </c>
      <c r="C31" s="7">
        <f>SUM(C29:C30)</f>
        <v>3300</v>
      </c>
    </row>
    <row r="32" spans="1:4" x14ac:dyDescent="0.25">
      <c r="A32" t="s">
        <v>951</v>
      </c>
      <c r="B32" t="s">
        <v>952</v>
      </c>
      <c r="C32" s="3">
        <f>16000*1.1</f>
        <v>17600</v>
      </c>
    </row>
    <row r="33" spans="1:3" x14ac:dyDescent="0.25">
      <c r="A33" t="s">
        <v>953</v>
      </c>
      <c r="B33" t="s">
        <v>954</v>
      </c>
      <c r="C33" s="7">
        <f>+C31*C32</f>
        <v>58080000</v>
      </c>
    </row>
    <row r="35" spans="1:3" x14ac:dyDescent="0.25">
      <c r="A35" s="52" t="s">
        <v>955</v>
      </c>
      <c r="B35" s="52"/>
      <c r="C35" s="57">
        <f>C26-C33</f>
        <v>1120000</v>
      </c>
    </row>
    <row r="37" spans="1:3" x14ac:dyDescent="0.25">
      <c r="A37" s="10" t="s">
        <v>956</v>
      </c>
    </row>
    <row r="39" spans="1:3" x14ac:dyDescent="0.25">
      <c r="A39" s="8" t="s">
        <v>957</v>
      </c>
    </row>
    <row r="41" spans="1:3" x14ac:dyDescent="0.25">
      <c r="A41" t="s">
        <v>914</v>
      </c>
      <c r="C41" s="7">
        <f>+C26</f>
        <v>59200000</v>
      </c>
    </row>
    <row r="42" spans="1:3" x14ac:dyDescent="0.25">
      <c r="A42" t="s">
        <v>953</v>
      </c>
      <c r="C42" s="7">
        <f>+C31</f>
        <v>3300</v>
      </c>
    </row>
    <row r="43" spans="1:3" x14ac:dyDescent="0.25">
      <c r="A43" t="s">
        <v>958</v>
      </c>
      <c r="C43" s="3">
        <f>C41/C42</f>
        <v>17939.39393939394</v>
      </c>
    </row>
    <row r="44" spans="1:3" x14ac:dyDescent="0.25">
      <c r="A44" t="s">
        <v>959</v>
      </c>
      <c r="B44" t="s">
        <v>960</v>
      </c>
      <c r="C44" s="7">
        <f>+C43-16000</f>
        <v>1939.3939393939399</v>
      </c>
    </row>
    <row r="45" spans="1:3" x14ac:dyDescent="0.25">
      <c r="A45" t="s">
        <v>961</v>
      </c>
      <c r="B45" t="s">
        <v>962</v>
      </c>
      <c r="C45" s="18">
        <f>+C44/16000</f>
        <v>0.12121212121212124</v>
      </c>
    </row>
  </sheetData>
  <pageMargins left="0.7" right="0.7" top="0.75" bottom="0.75" header="0.3" footer="0.3"/>
  <pageSetup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7"/>
  <sheetViews>
    <sheetView workbookViewId="0">
      <selection activeCell="F21" sqref="F21"/>
    </sheetView>
  </sheetViews>
  <sheetFormatPr defaultRowHeight="15" x14ac:dyDescent="0.25"/>
  <cols>
    <col min="1" max="1" width="25.42578125" customWidth="1"/>
    <col min="2" max="2" width="32" customWidth="1"/>
    <col min="3" max="3" width="19.42578125" customWidth="1"/>
    <col min="4" max="4" width="14.28515625" bestFit="1" customWidth="1"/>
    <col min="5" max="5" width="10.5703125" bestFit="1" customWidth="1"/>
    <col min="7" max="7" width="20.42578125" customWidth="1"/>
    <col min="8" max="8" width="14.5703125" customWidth="1"/>
    <col min="9" max="11" width="14.28515625" bestFit="1" customWidth="1"/>
  </cols>
  <sheetData>
    <row r="2" spans="1:3" x14ac:dyDescent="0.25">
      <c r="A2" s="6" t="s">
        <v>963</v>
      </c>
    </row>
    <row r="4" spans="1:3" x14ac:dyDescent="0.25">
      <c r="A4" t="s">
        <v>964</v>
      </c>
    </row>
    <row r="5" spans="1:3" x14ac:dyDescent="0.25">
      <c r="A5" s="6" t="s">
        <v>965</v>
      </c>
    </row>
    <row r="7" spans="1:3" x14ac:dyDescent="0.25">
      <c r="A7" t="s">
        <v>109</v>
      </c>
      <c r="B7" t="s">
        <v>966</v>
      </c>
      <c r="C7" s="3">
        <f>8000000/20000*80000</f>
        <v>32000000</v>
      </c>
    </row>
    <row r="8" spans="1:3" x14ac:dyDescent="0.25">
      <c r="A8" t="s">
        <v>132</v>
      </c>
      <c r="B8" t="s">
        <v>967</v>
      </c>
      <c r="C8" s="3">
        <f>-3400000/20000*80000</f>
        <v>-13600000</v>
      </c>
    </row>
    <row r="9" spans="1:3" x14ac:dyDescent="0.25">
      <c r="A9" s="1" t="s">
        <v>166</v>
      </c>
      <c r="B9" s="1" t="s">
        <v>968</v>
      </c>
      <c r="C9" s="22">
        <v>-6020000</v>
      </c>
    </row>
    <row r="10" spans="1:3" ht="15.75" thickBot="1" x14ac:dyDescent="0.3">
      <c r="A10" t="s">
        <v>187</v>
      </c>
      <c r="C10" s="154">
        <f>SUM(C7:C9)</f>
        <v>12380000</v>
      </c>
    </row>
    <row r="11" spans="1:3" ht="15.75" thickTop="1" x14ac:dyDescent="0.25"/>
    <row r="12" spans="1:3" x14ac:dyDescent="0.25">
      <c r="A12" s="6" t="s">
        <v>969</v>
      </c>
    </row>
    <row r="13" spans="1:3" x14ac:dyDescent="0.25">
      <c r="B13" s="3"/>
    </row>
    <row r="14" spans="1:3" x14ac:dyDescent="0.25">
      <c r="A14" t="s">
        <v>81</v>
      </c>
      <c r="B14" s="3">
        <v>3880000</v>
      </c>
    </row>
    <row r="15" spans="1:3" x14ac:dyDescent="0.25">
      <c r="A15" t="s">
        <v>84</v>
      </c>
      <c r="B15" s="3">
        <v>3600000</v>
      </c>
    </row>
    <row r="16" spans="1:3" x14ac:dyDescent="0.25">
      <c r="A16" t="s">
        <v>88</v>
      </c>
      <c r="B16" s="3">
        <v>5600000</v>
      </c>
    </row>
    <row r="17" spans="1:11" ht="15.75" thickBot="1" x14ac:dyDescent="0.3">
      <c r="B17" s="154">
        <f>SUM(B14:B16)</f>
        <v>13080000</v>
      </c>
    </row>
    <row r="18" spans="1:11" ht="15.75" thickTop="1" x14ac:dyDescent="0.25"/>
    <row r="19" spans="1:11" x14ac:dyDescent="0.25">
      <c r="A19" s="10" t="s">
        <v>970</v>
      </c>
    </row>
    <row r="21" spans="1:11" x14ac:dyDescent="0.25">
      <c r="A21" t="s">
        <v>253</v>
      </c>
    </row>
    <row r="22" spans="1:11" x14ac:dyDescent="0.25">
      <c r="A22" t="s">
        <v>971</v>
      </c>
      <c r="H22" t="s">
        <v>81</v>
      </c>
      <c r="I22" t="s">
        <v>84</v>
      </c>
      <c r="J22" t="s">
        <v>88</v>
      </c>
    </row>
    <row r="23" spans="1:11" ht="17.25" x14ac:dyDescent="0.4">
      <c r="A23" t="s">
        <v>931</v>
      </c>
      <c r="C23" s="7">
        <f>+B17</f>
        <v>13080000</v>
      </c>
      <c r="D23" t="s">
        <v>972</v>
      </c>
      <c r="G23" t="s">
        <v>189</v>
      </c>
      <c r="H23" s="23">
        <v>20000</v>
      </c>
      <c r="I23" s="23">
        <v>50000</v>
      </c>
      <c r="J23" s="23">
        <v>100000</v>
      </c>
      <c r="K23" s="7">
        <f>SUM(H23:J23)</f>
        <v>170000</v>
      </c>
    </row>
    <row r="24" spans="1:11" x14ac:dyDescent="0.25">
      <c r="A24" t="s">
        <v>207</v>
      </c>
      <c r="B24" t="s">
        <v>973</v>
      </c>
      <c r="C24" s="3">
        <f>6020000+2978000</f>
        <v>8998000</v>
      </c>
      <c r="G24" t="s">
        <v>131</v>
      </c>
      <c r="H24" s="3">
        <f>8000000/20000</f>
        <v>400</v>
      </c>
      <c r="I24" s="3">
        <f>17500000/50000</f>
        <v>350</v>
      </c>
      <c r="J24" s="3">
        <v>350</v>
      </c>
    </row>
    <row r="25" spans="1:11" x14ac:dyDescent="0.25">
      <c r="A25" t="s">
        <v>974</v>
      </c>
      <c r="C25" s="7">
        <f>SUM(C23:C24)</f>
        <v>22078000</v>
      </c>
      <c r="G25" s="10" t="s">
        <v>975</v>
      </c>
      <c r="H25" s="21">
        <f>-3400000*0.9/20000</f>
        <v>-153</v>
      </c>
      <c r="I25" s="21">
        <f>-12000000*0.9/50000</f>
        <v>-216</v>
      </c>
      <c r="J25" s="21">
        <f>-26000000*0.9/100000</f>
        <v>-234</v>
      </c>
    </row>
    <row r="26" spans="1:11" x14ac:dyDescent="0.25">
      <c r="A26" t="s">
        <v>976</v>
      </c>
      <c r="C26" s="165">
        <f>+K30</f>
        <v>0.38413223140495867</v>
      </c>
      <c r="G26" t="s">
        <v>192</v>
      </c>
      <c r="H26" s="7">
        <f>SUM(H24:H25)</f>
        <v>247</v>
      </c>
      <c r="I26" s="7">
        <f t="shared" ref="I26:J26" si="0">SUM(I24:I25)</f>
        <v>134</v>
      </c>
      <c r="J26" s="7">
        <f t="shared" si="0"/>
        <v>116</v>
      </c>
    </row>
    <row r="27" spans="1:11" ht="15.75" thickBot="1" x14ac:dyDescent="0.3">
      <c r="A27" t="s">
        <v>977</v>
      </c>
      <c r="B27" t="s">
        <v>978</v>
      </c>
      <c r="C27" s="166">
        <f>+C25/C26</f>
        <v>57475000</v>
      </c>
    </row>
    <row r="28" spans="1:11" ht="15.75" thickTop="1" x14ac:dyDescent="0.25">
      <c r="G28" t="s">
        <v>226</v>
      </c>
      <c r="H28" s="3">
        <f>H24*H23</f>
        <v>8000000</v>
      </c>
      <c r="I28" s="3">
        <f t="shared" ref="I28:J28" si="1">I24*I23</f>
        <v>17500000</v>
      </c>
      <c r="J28" s="3">
        <f t="shared" si="1"/>
        <v>35000000</v>
      </c>
      <c r="K28" s="24">
        <f>SUM(H28:J28)</f>
        <v>60500000</v>
      </c>
    </row>
    <row r="29" spans="1:11" x14ac:dyDescent="0.25">
      <c r="G29" t="s">
        <v>979</v>
      </c>
      <c r="H29" s="3">
        <f>H26*H23</f>
        <v>4940000</v>
      </c>
      <c r="I29" s="3">
        <f t="shared" ref="I29:J29" si="2">I26*I23</f>
        <v>6700000</v>
      </c>
      <c r="J29" s="3">
        <f t="shared" si="2"/>
        <v>11600000</v>
      </c>
      <c r="K29" s="7">
        <f>SUM(H29:J29)</f>
        <v>23240000</v>
      </c>
    </row>
    <row r="30" spans="1:11" x14ac:dyDescent="0.25">
      <c r="A30" t="s">
        <v>980</v>
      </c>
      <c r="B30" s="45">
        <f>+K23</f>
        <v>170000</v>
      </c>
      <c r="C30" t="s">
        <v>981</v>
      </c>
      <c r="D30" s="7"/>
      <c r="G30" t="s">
        <v>236</v>
      </c>
      <c r="K30" s="167">
        <f>K29/K28</f>
        <v>0.38413223140495867</v>
      </c>
    </row>
    <row r="31" spans="1:11" x14ac:dyDescent="0.25">
      <c r="B31" s="7">
        <f>+K28</f>
        <v>60500000</v>
      </c>
    </row>
    <row r="33" spans="1:5" ht="17.25" x14ac:dyDescent="0.4">
      <c r="B33" s="168">
        <f>B30/B31*C27</f>
        <v>161500</v>
      </c>
      <c r="C33" t="s">
        <v>81</v>
      </c>
      <c r="D33" t="s">
        <v>982</v>
      </c>
      <c r="E33" s="169">
        <f>B33/17*2</f>
        <v>19000</v>
      </c>
    </row>
    <row r="34" spans="1:5" ht="17.25" x14ac:dyDescent="0.4">
      <c r="C34" t="s">
        <v>84</v>
      </c>
      <c r="D34" t="s">
        <v>983</v>
      </c>
      <c r="E34" s="169">
        <f>+B33/17*5</f>
        <v>47500</v>
      </c>
    </row>
    <row r="35" spans="1:5" ht="17.25" x14ac:dyDescent="0.4">
      <c r="C35" t="s">
        <v>88</v>
      </c>
      <c r="D35" t="s">
        <v>984</v>
      </c>
      <c r="E35" s="170">
        <f>+B33/17*10</f>
        <v>95000</v>
      </c>
    </row>
    <row r="37" spans="1:5" x14ac:dyDescent="0.25">
      <c r="A37" t="s">
        <v>943</v>
      </c>
    </row>
    <row r="38" spans="1:5" x14ac:dyDescent="0.25">
      <c r="A38" t="s">
        <v>985</v>
      </c>
      <c r="B38" t="s">
        <v>986</v>
      </c>
      <c r="C38" s="45">
        <f>170000-65825.66</f>
        <v>104174.34</v>
      </c>
    </row>
    <row r="40" spans="1:5" x14ac:dyDescent="0.25">
      <c r="A40" t="s">
        <v>987</v>
      </c>
      <c r="B40" t="s">
        <v>988</v>
      </c>
      <c r="C40" s="15">
        <f>170000-53581.15</f>
        <v>116418.85</v>
      </c>
      <c r="D40" s="10" t="s">
        <v>989</v>
      </c>
    </row>
    <row r="45" spans="1:5" x14ac:dyDescent="0.25">
      <c r="A45" s="6" t="s">
        <v>990</v>
      </c>
    </row>
    <row r="46" spans="1:5" x14ac:dyDescent="0.25">
      <c r="A46" t="s">
        <v>991</v>
      </c>
      <c r="B46" t="s">
        <v>992</v>
      </c>
      <c r="C46" t="s">
        <v>993</v>
      </c>
      <c r="D46" s="3">
        <f>8998000/0.3841</f>
        <v>23426191.096068732</v>
      </c>
    </row>
    <row r="47" spans="1:5" x14ac:dyDescent="0.25">
      <c r="A47" t="s">
        <v>145</v>
      </c>
      <c r="B47" t="s">
        <v>994</v>
      </c>
      <c r="D47" s="7">
        <f>B30/B31*D46</f>
        <v>65825.660931102218</v>
      </c>
    </row>
    <row r="50" spans="1:8" x14ac:dyDescent="0.25">
      <c r="A50" t="s">
        <v>995</v>
      </c>
    </row>
    <row r="51" spans="1:8" x14ac:dyDescent="0.25">
      <c r="A51" t="s">
        <v>207</v>
      </c>
      <c r="B51" t="s">
        <v>992</v>
      </c>
      <c r="C51" s="3" t="s">
        <v>996</v>
      </c>
      <c r="D51" s="3">
        <f>6020000/H57</f>
        <v>19068586.387434553</v>
      </c>
      <c r="G51" t="s">
        <v>226</v>
      </c>
      <c r="H51" s="7">
        <f>+K28</f>
        <v>60500000</v>
      </c>
    </row>
    <row r="52" spans="1:8" x14ac:dyDescent="0.25">
      <c r="A52" t="s">
        <v>145</v>
      </c>
      <c r="B52" t="s">
        <v>997</v>
      </c>
      <c r="D52" s="7">
        <f>B30/B31*D51</f>
        <v>53581.151832460724</v>
      </c>
    </row>
    <row r="53" spans="1:8" x14ac:dyDescent="0.25">
      <c r="G53" t="s">
        <v>979</v>
      </c>
      <c r="H53" s="7">
        <f>SUM(H54:H55)</f>
        <v>19100000</v>
      </c>
    </row>
    <row r="54" spans="1:8" x14ac:dyDescent="0.25">
      <c r="G54" t="s">
        <v>207</v>
      </c>
      <c r="H54" s="3">
        <v>6020000</v>
      </c>
    </row>
    <row r="55" spans="1:8" x14ac:dyDescent="0.25">
      <c r="G55" t="s">
        <v>187</v>
      </c>
      <c r="H55" s="3">
        <f>+B17</f>
        <v>13080000</v>
      </c>
    </row>
    <row r="57" spans="1:8" x14ac:dyDescent="0.25">
      <c r="G57" t="s">
        <v>998</v>
      </c>
      <c r="H57" s="18">
        <f>H53/H51</f>
        <v>0.31570247933884299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L21" sqref="L21"/>
    </sheetView>
  </sheetViews>
  <sheetFormatPr defaultRowHeight="15" x14ac:dyDescent="0.25"/>
  <sheetData>
    <row r="2" spans="1:1" x14ac:dyDescent="0.25">
      <c r="A2" t="s">
        <v>999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I23" sqref="I23"/>
    </sheetView>
  </sheetViews>
  <sheetFormatPr defaultRowHeight="15" x14ac:dyDescent="0.25"/>
  <cols>
    <col min="1" max="1" width="24.85546875" customWidth="1"/>
    <col min="2" max="2" width="15" customWidth="1"/>
    <col min="3" max="3" width="14.28515625" bestFit="1" customWidth="1"/>
  </cols>
  <sheetData>
    <row r="2" spans="1:4" x14ac:dyDescent="0.25">
      <c r="A2" s="6" t="s">
        <v>1000</v>
      </c>
    </row>
    <row r="4" spans="1:4" x14ac:dyDescent="0.25">
      <c r="A4" t="s">
        <v>1001</v>
      </c>
      <c r="B4" s="5" t="s">
        <v>1002</v>
      </c>
    </row>
    <row r="6" spans="1:4" x14ac:dyDescent="0.25">
      <c r="A6" s="13" t="s">
        <v>1003</v>
      </c>
      <c r="C6" t="s">
        <v>1004</v>
      </c>
    </row>
    <row r="7" spans="1:4" x14ac:dyDescent="0.25">
      <c r="A7" t="s">
        <v>1005</v>
      </c>
      <c r="B7" t="s">
        <v>1006</v>
      </c>
      <c r="C7" s="3">
        <f>60000*410</f>
        <v>24600000</v>
      </c>
      <c r="D7" t="s">
        <v>1007</v>
      </c>
    </row>
    <row r="8" spans="1:4" x14ac:dyDescent="0.25">
      <c r="D8" t="s">
        <v>1008</v>
      </c>
    </row>
    <row r="9" spans="1:4" x14ac:dyDescent="0.25">
      <c r="A9" t="s">
        <v>1009</v>
      </c>
      <c r="B9" t="s">
        <v>1010</v>
      </c>
      <c r="C9" s="3">
        <f>10000*1450</f>
        <v>14500000</v>
      </c>
      <c r="D9" t="s">
        <v>1011</v>
      </c>
    </row>
    <row r="10" spans="1:4" x14ac:dyDescent="0.25">
      <c r="D10" t="s">
        <v>1012</v>
      </c>
    </row>
    <row r="11" spans="1:4" x14ac:dyDescent="0.25">
      <c r="D11" t="s">
        <v>1013</v>
      </c>
    </row>
    <row r="12" spans="1:4" x14ac:dyDescent="0.25">
      <c r="A12" t="s">
        <v>1014</v>
      </c>
      <c r="C12" s="3">
        <v>0</v>
      </c>
      <c r="D12" t="s">
        <v>1015</v>
      </c>
    </row>
    <row r="13" spans="1:4" x14ac:dyDescent="0.25">
      <c r="D13" t="s">
        <v>1016</v>
      </c>
    </row>
    <row r="14" spans="1:4" x14ac:dyDescent="0.25">
      <c r="A14" t="s">
        <v>1017</v>
      </c>
      <c r="C14" s="3">
        <v>4800000</v>
      </c>
      <c r="D14" t="s">
        <v>1018</v>
      </c>
    </row>
    <row r="15" spans="1:4" x14ac:dyDescent="0.25">
      <c r="A15" t="s">
        <v>1019</v>
      </c>
      <c r="C15" s="3">
        <v>2000000</v>
      </c>
      <c r="D15" t="s">
        <v>1018</v>
      </c>
    </row>
    <row r="16" spans="1:4" x14ac:dyDescent="0.25">
      <c r="A16" t="s">
        <v>774</v>
      </c>
      <c r="B16" t="s">
        <v>1020</v>
      </c>
      <c r="C16" s="3">
        <f>6400000*0.4</f>
        <v>2560000</v>
      </c>
      <c r="D16" t="s">
        <v>1018</v>
      </c>
    </row>
    <row r="17" spans="1:4" x14ac:dyDescent="0.25">
      <c r="D17" t="s">
        <v>1021</v>
      </c>
    </row>
    <row r="18" spans="1:4" x14ac:dyDescent="0.25">
      <c r="A18" t="s">
        <v>54</v>
      </c>
      <c r="B18" t="s">
        <v>1022</v>
      </c>
      <c r="C18" s="15">
        <f>50000*500</f>
        <v>25000000</v>
      </c>
      <c r="D18" t="s">
        <v>1023</v>
      </c>
    </row>
    <row r="19" spans="1:4" x14ac:dyDescent="0.25">
      <c r="A19" t="s">
        <v>1024</v>
      </c>
      <c r="C19" s="7">
        <f>SUM(C7:C18)</f>
        <v>73460000</v>
      </c>
    </row>
    <row r="20" spans="1:4" x14ac:dyDescent="0.25">
      <c r="A20" t="s">
        <v>1025</v>
      </c>
      <c r="C20" s="3">
        <v>73460000</v>
      </c>
      <c r="D20" s="10" t="s">
        <v>1026</v>
      </c>
    </row>
    <row r="21" spans="1:4" x14ac:dyDescent="0.25">
      <c r="A21" t="s">
        <v>1027</v>
      </c>
      <c r="C21" s="3">
        <v>1000000</v>
      </c>
    </row>
    <row r="22" spans="1:4" ht="15.75" thickBot="1" x14ac:dyDescent="0.3">
      <c r="A22" t="s">
        <v>1028</v>
      </c>
      <c r="C22" s="9">
        <f>+C20/C21</f>
        <v>73.459999999999994</v>
      </c>
    </row>
    <row r="23" spans="1:4" ht="15.75" thickTop="1" x14ac:dyDescent="0.25"/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R23" sqref="R23"/>
    </sheetView>
  </sheetViews>
  <sheetFormatPr defaultRowHeight="15" x14ac:dyDescent="0.25"/>
  <sheetData>
    <row r="2" spans="1:1" x14ac:dyDescent="0.25">
      <c r="A2" t="s">
        <v>999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8" ma:contentTypeDescription="Create a new document." ma:contentTypeScope="" ma:versionID="ee78e4b72632758de8621c71d7cecb3a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e13ea50a332677d6ea91e655bc6929c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994CDA-1B62-437D-8918-14C260B3E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024661-5F55-4029-AA24-B10A8C0131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A782E6-A39B-40A4-81D8-75B66B142B2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Sheet1</vt:lpstr>
      <vt:lpstr>E1</vt:lpstr>
      <vt:lpstr>E2</vt:lpstr>
      <vt:lpstr>E3</vt:lpstr>
      <vt:lpstr>E4</vt:lpstr>
      <vt:lpstr>E5</vt:lpstr>
      <vt:lpstr>E6</vt:lpstr>
      <vt:lpstr>E7</vt:lpstr>
      <vt:lpstr>E8</vt:lpstr>
      <vt:lpstr>E10</vt:lpstr>
      <vt:lpstr>E11</vt:lpstr>
      <vt:lpstr>E12</vt:lpstr>
      <vt:lpstr>E13</vt:lpstr>
      <vt:lpstr>E14</vt:lpstr>
      <vt:lpstr>E15</vt:lpstr>
      <vt:lpstr>E16</vt:lpstr>
      <vt:lpstr>E17</vt:lpstr>
      <vt:lpstr>E18</vt:lpstr>
      <vt:lpstr>E19 A</vt:lpstr>
      <vt:lpstr>E19 B</vt:lpstr>
      <vt:lpstr>E20</vt:lpstr>
      <vt:lpstr>E21</vt:lpstr>
      <vt:lpstr>E22</vt:lpstr>
      <vt:lpstr>E23</vt:lpstr>
      <vt:lpstr>E24</vt:lpstr>
      <vt:lpstr>E25</vt:lpstr>
      <vt:lpstr>E26</vt:lpstr>
      <vt:lpstr>E27</vt:lpstr>
      <vt:lpstr>E28</vt:lpstr>
      <vt:lpstr>Q1</vt:lpstr>
      <vt:lpstr>Q2</vt:lpstr>
      <vt:lpstr>Q3</vt:lpstr>
      <vt:lpstr>Q4</vt:lpstr>
      <vt:lpstr>Q5</vt:lpstr>
      <vt:lpstr>Q6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Sunanda Abeykoon</dc:creator>
  <cp:keywords/>
  <dc:description/>
  <cp:lastModifiedBy>vLearning1</cp:lastModifiedBy>
  <cp:revision/>
  <dcterms:created xsi:type="dcterms:W3CDTF">2021-10-17T11:14:09Z</dcterms:created>
  <dcterms:modified xsi:type="dcterms:W3CDTF">2022-07-18T07:57:18Z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